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33" activeTab="12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Производство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для текста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6">#REF!</definedName>
    <definedName name="Ed." localSheetId="5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6">'[7]Свод'!#REF!</definedName>
    <definedName name="RUR" localSheetId="5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6">#REF!</definedName>
    <definedName name="ВалП1" localSheetId="5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6">'[61]объекты обществаКокшетау'!#REF!</definedName>
    <definedName name="всего_долл" localSheetId="5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6">#REF!</definedName>
    <definedName name="долл" localSheetId="5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6">#REF!</definedName>
    <definedName name="дсша" localSheetId="5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'Инв'!$4:$4</definedName>
    <definedName name="_xlnm.Print_Titles" localSheetId="9">'кр'!$A:$B</definedName>
    <definedName name="_xlnm.Print_Titles" localSheetId="6">'Производство'!$A:$A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6">#REF!</definedName>
    <definedName name="Инт" localSheetId="5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6">'[61]объекты обществаКокшетау'!#REF!</definedName>
    <definedName name="итого_в_долл" localSheetId="5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6">'[27]объекты обществаКокшетау'!#REF!</definedName>
    <definedName name="Каламкас" localSheetId="5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6">#REF!</definedName>
    <definedName name="кндс" localSheetId="5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6">#REF!</definedName>
    <definedName name="компресс" localSheetId="5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6">'[9]Общ_Д'!#REF!</definedName>
    <definedName name="Кредит_перераб" localSheetId="5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6">'[9]Общ_Д'!#REF!</definedName>
    <definedName name="Кредит_произв" localSheetId="5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6">'[9]Общ_Д'!#REF!</definedName>
    <definedName name="Кредит_производство" localSheetId="5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6">'[61]объекты обществаКокшетау'!#REF!</definedName>
    <definedName name="курс_НБРК" localSheetId="5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6">#REF!</definedName>
    <definedName name="Курс1" localSheetId="5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6">'[14]Финпоки1'!#REF!</definedName>
    <definedName name="Курс10" localSheetId="5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6">#REF!</definedName>
    <definedName name="металлоформы" localSheetId="5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7">'ФОТ'!#REF!</definedName>
    <definedName name="ндс">'Исх'!$C$17</definedName>
    <definedName name="НДС_2003" localSheetId="12">'[13]Перем. затраты'!$P$48</definedName>
    <definedName name="НДС_2003" localSheetId="9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'1-Ф3'!$A$1:$CP$37</definedName>
    <definedName name="_xlnm.Print_Area" localSheetId="1">'2-ф2'!$A$1:$CP$30</definedName>
    <definedName name="_xlnm.Print_Area" localSheetId="2">'3-Баланс'!$A$1:$AH$26</definedName>
    <definedName name="_xlnm.Print_Area" localSheetId="12">'для текста'!$A$1:$B$10</definedName>
    <definedName name="_xlnm.Print_Area" localSheetId="10">'Инв'!$A$1:$Q$23</definedName>
    <definedName name="_xlnm.Print_Area" localSheetId="9">'кр'!$A$1:$CO$13</definedName>
    <definedName name="_xlnm.Print_Area" localSheetId="6">'Производство'!$A$1:$AH$10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6">'Производство'!#REF!</definedName>
    <definedName name="обм" localSheetId="5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6">#REF!</definedName>
    <definedName name="оборудование_ЖД" localSheetId="5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6">#REF!</definedName>
    <definedName name="подстанция" localSheetId="5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6">#REF!</definedName>
    <definedName name="рбу" localSheetId="5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6">#REF!</definedName>
    <definedName name="руб" localSheetId="5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6">'Производство'!#REF!</definedName>
    <definedName name="себ" localSheetId="5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6">#REF!</definedName>
    <definedName name="склад_продукции" localSheetId="5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6">#REF!</definedName>
    <definedName name="склад_цем" localSheetId="5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6">#REF!</definedName>
    <definedName name="спецодежда" localSheetId="5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6">#REF!</definedName>
    <definedName name="тг" localSheetId="5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6">#REF!</definedName>
    <definedName name="ТовРеал1" localSheetId="5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6">'[9]Дох'!#REF!</definedName>
    <definedName name="Цена_бобов" localSheetId="5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6">#REF!</definedName>
    <definedName name="цех_пби" localSheetId="5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<sst xmlns="http://schemas.openxmlformats.org/spreadsheetml/2006/main" count="386" uniqueCount="284">
  <si>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</si>
  <si>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</si>
  <si>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</si>
  <si>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</si>
  <si>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</si>
  <si>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</si>
  <si>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</si>
  <si>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</si>
  <si>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</si>
  <si>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</si>
  <si>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</si>
  <si>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</si>
  <si>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</si>
  <si>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</si>
  <si>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</si>
  <si>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</si>
  <si>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</si>
  <si>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</si>
  <si>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</si>
  <si>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</si>
  <si>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</si>
  <si>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</si>
  <si>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</si>
  <si>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</si>
  <si>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</si>
  <si>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</si>
  <si>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</si>
  <si>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</si>
  <si>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</si>
  <si>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</si>
  <si>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</si>
  <si>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</si>
  <si>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</si>
  <si>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</si>
  <si>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</si>
  <si>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</si>
  <si>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</si>
  <si>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</si>
  <si>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</si>
  <si>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</si>
  <si>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</si>
  <si>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</si>
  <si>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</si>
  <si>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</si>
  <si>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</si>
  <si>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</si>
  <si>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</si>
  <si>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</si>
  <si>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</si>
  <si>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</si>
  <si>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</si>
  <si>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</si>
  <si>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</si>
  <si>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</si>
  <si>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</si>
  <si>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</si>
  <si>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</si>
  <si>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</si>
  <si>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</si>
  <si>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</si>
  <si>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Первоначальные инвестиции с НДС, 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</si>
  <si>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</si>
  <si>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</si>
  <si>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</si>
  <si>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</si>
  <si>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</si>
  <si>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</si>
  <si>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</si>
  <si>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</si>
  <si>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</si>
  <si>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</si>
  <si>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</si>
  <si>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</si>
  <si>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</si>
  <si>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</si>
  <si>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</si>
  <si>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</si>
  <si>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</si>
  <si>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</si>
  <si>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</si>
  <si>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</si>
  <si>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</si>
  <si>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</si>
  <si>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</si>
  <si>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</si>
  <si>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</si>
  <si>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</si>
  <si>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</si>
  <si>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</si>
  <si>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</si>
  <si>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</si>
  <si>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</si>
  <si>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</si>
  <si>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</si>
  <si>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</si>
  <si>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</si>
  <si>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</si>
  <si>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</si>
  <si>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</si>
  <si>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</si>
  <si>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Доход от реализации продукции, услуг</t>
  </si>
  <si>
    <t>Себестоимость реализ. товаров, услуг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</si>
  <si>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</si>
  <si>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</si>
  <si>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</si>
  <si>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Обслуживание и ремонт ОС</t>
  </si>
  <si>
    <t>Услуги банка</t>
  </si>
  <si>
    <t>Налог на транспорт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</si>
  <si>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</si>
  <si>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</si>
  <si>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</si>
  <si>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</si>
  <si>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</si>
  <si>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</si>
  <si>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</si>
  <si>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Услуги связи</t>
  </si>
  <si>
    <t>Здание</t>
  </si>
  <si>
    <t>Отчет о доходах и расходах</t>
  </si>
  <si>
    <t>Доход от реализации услуг</t>
  </si>
  <si>
    <t>МЗП</t>
  </si>
  <si>
    <t>Директор</t>
  </si>
  <si>
    <t>Уборщица</t>
  </si>
  <si>
    <t>Полная себестоимость услуг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</si>
  <si>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</si>
  <si>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</si>
  <si>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</si>
  <si>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</si>
  <si>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</si>
  <si>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</si>
  <si>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</si>
  <si>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</si>
  <si>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</si>
  <si>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</si>
  <si>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</si>
  <si>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</si>
  <si>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</si>
  <si>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</si>
  <si>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</si>
  <si>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</si>
  <si>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</si>
  <si>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</si>
  <si>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</si>
  <si>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</si>
  <si>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</si>
  <si>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</si>
  <si>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</si>
  <si>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</si>
  <si>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</si>
  <si>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</si>
  <si>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</si>
  <si>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</si>
  <si>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</si>
  <si>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</si>
  <si>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</si>
  <si>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</si>
  <si>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</si>
  <si>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</si>
  <si>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</si>
  <si>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</si>
  <si>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</si>
  <si>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</si>
  <si>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</si>
  <si>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</si>
  <si>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</si>
  <si>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</si>
  <si>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</si>
  <si>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</si>
  <si>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</si>
  <si>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</si>
  <si>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</si>
  <si>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</si>
  <si>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</si>
  <si>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</si>
  <si>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</si>
  <si>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</si>
  <si>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</si>
  <si>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</si>
  <si>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</si>
  <si>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</si>
  <si>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</si>
  <si>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</si>
  <si>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Собственные средств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</si>
  <si>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</si>
  <si>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</si>
  <si>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</si>
  <si>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</si>
  <si>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</si>
  <si>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</si>
  <si>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</si>
  <si>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</si>
  <si>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</si>
  <si>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Рентабельность активов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</si>
  <si>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</si>
  <si>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</si>
  <si>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</si>
  <si>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</si>
  <si>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</si>
  <si>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Мероприятия\Месяц</t>
  </si>
  <si>
    <t>Проведение маркетингового исследования и разработка ТЭО</t>
  </si>
  <si>
    <t>Решение вопроса финансирования</t>
  </si>
  <si>
    <t>Получение кредита</t>
  </si>
  <si>
    <t>Начало работы</t>
  </si>
  <si>
    <t>Здания и сооружения</t>
  </si>
  <si>
    <t>на 5 год проекта</t>
  </si>
  <si>
    <t>Коэффициент покрытия обязательств собственным капиталом</t>
  </si>
  <si>
    <t>Наименование</t>
  </si>
  <si>
    <t>Годовая прибыль (5 год), тыс.тг.</t>
  </si>
  <si>
    <t>Величина налоговых поступлений за 7 лет, тыс.тг.</t>
  </si>
  <si>
    <t>Налоги и обязательные платежи от ФОТ</t>
  </si>
  <si>
    <t>Вид налога</t>
  </si>
  <si>
    <t>Сумма, тыс.тг.</t>
  </si>
  <si>
    <t>Техника</t>
  </si>
  <si>
    <t>Продукция</t>
  </si>
  <si>
    <t>Производство</t>
  </si>
  <si>
    <t>Сырье</t>
  </si>
  <si>
    <t>Срок погашения, лет</t>
  </si>
  <si>
    <t>Планируемая программа производства по годам проекта</t>
  </si>
  <si>
    <t>Поставка оборудования, монтаж</t>
  </si>
  <si>
    <t>Поиск персонала</t>
  </si>
  <si>
    <t>Размещение рекламы</t>
  </si>
  <si>
    <t>Налог на имущество и транспорт</t>
  </si>
  <si>
    <t>Переменные расходы</t>
  </si>
  <si>
    <t>Производительность</t>
  </si>
  <si>
    <t>Цены на продукцию</t>
  </si>
  <si>
    <t>Налог на деятельность ИП</t>
  </si>
  <si>
    <t>Загрузка, %</t>
  </si>
  <si>
    <t>Аренда производственного помещения</t>
  </si>
  <si>
    <t>Сырье и материалы</t>
  </si>
  <si>
    <t>Остаток денежных средств на начало периода</t>
  </si>
  <si>
    <t>Мощность, %</t>
  </si>
  <si>
    <t>Выбор помещения</t>
  </si>
  <si>
    <t>Время работы</t>
  </si>
  <si>
    <t>дн./мес.</t>
  </si>
  <si>
    <t>Доход до выплаты налогов</t>
  </si>
  <si>
    <t>Помощник</t>
  </si>
  <si>
    <t>Водитель</t>
  </si>
  <si>
    <t>Бухгалтер-кассир</t>
  </si>
  <si>
    <t>Начальник производства</t>
  </si>
  <si>
    <t>150 м2</t>
  </si>
  <si>
    <t>ГСМ</t>
  </si>
  <si>
    <t>ГАЗель</t>
  </si>
  <si>
    <t>Основное</t>
  </si>
  <si>
    <t>Дополнительное</t>
  </si>
  <si>
    <t>Хоз.товары</t>
  </si>
  <si>
    <t>из расчета 750 тг/м2</t>
  </si>
  <si>
    <t>Расходы, тыс.тг.</t>
  </si>
  <si>
    <t>Источник финансирования, тыс.тг.</t>
  </si>
  <si>
    <t>Мини-крупоцех Р6-МКЦ-7</t>
  </si>
  <si>
    <t>http://www.kaztechprom.kz/3tech/mini-zavod/krupa/764/</t>
  </si>
  <si>
    <t>Комплект утвари</t>
  </si>
  <si>
    <t>тн./сутки</t>
  </si>
  <si>
    <t>Переработка в сутки</t>
  </si>
  <si>
    <t>Выход крупы №2</t>
  </si>
  <si>
    <t>Выход крупы №3</t>
  </si>
  <si>
    <t>Отруби</t>
  </si>
  <si>
    <t>Производство крупы №2 макс.</t>
  </si>
  <si>
    <t>Производство крупы №3 макс.</t>
  </si>
  <si>
    <t>Производство отрубей макс.</t>
  </si>
  <si>
    <t>тн./мес.</t>
  </si>
  <si>
    <t>Крупа пшеничная №3</t>
  </si>
  <si>
    <t>Значение, тг. за кг.</t>
  </si>
  <si>
    <t>тн.</t>
  </si>
  <si>
    <t>Цена, тг. за кг.</t>
  </si>
  <si>
    <t>Оператор</t>
  </si>
  <si>
    <t>Снабженец - менеджер по продажам</t>
  </si>
  <si>
    <t>на 1 машину</t>
  </si>
  <si>
    <t>Расход сырья</t>
  </si>
  <si>
    <t>Электроэнергия</t>
  </si>
  <si>
    <t>35 кВт/час</t>
  </si>
  <si>
    <t>Крупа пшеничная №2</t>
  </si>
  <si>
    <t>Доля собственного участия</t>
  </si>
  <si>
    <t>период - 5 лет</t>
  </si>
  <si>
    <t>Крупа пшеничная №2, тн.</t>
  </si>
  <si>
    <t>Крупа пшеничная №3, тн.</t>
  </si>
  <si>
    <t>Отруби, тн.</t>
  </si>
  <si>
    <t>Переработка сырья, тн.</t>
  </si>
  <si>
    <t>Пшеница 2-3 класс</t>
  </si>
  <si>
    <t>Налог на деятельность ИП, социальный налог</t>
  </si>
  <si>
    <t>Доля основных средств в стоимости активов</t>
  </si>
  <si>
    <t>ФОТ без соц.налога</t>
  </si>
  <si>
    <t>Налог на деятельность ИП, соц.налог</t>
  </si>
  <si>
    <t>Тип погашения основного долга</t>
  </si>
  <si>
    <t>03-05.2012</t>
  </si>
  <si>
    <t>03-04.2012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</si>
</sst>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%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"/>
    <numFmt numFmtId="169" formatCode="#,##0.0"/>
    <numFmt numFmtId="170" formatCode="#,##0.0_ ;[Red]\-#,##0.0\ "/>
    <numFmt numFmtId="171" formatCode="&quot;\&quot;#,##0;[Red]&quot;\&quot;\-#,##0"/>
    <numFmt numFmtId="172" formatCode="&quot;\&quot;#,##0.00;[Red]&quot;\&quot;\-#,##0.00"/>
    <numFmt numFmtId="173" formatCode="&quot;See Note &quot;\ #"/>
    <numFmt numFmtId="174" formatCode="\$\ #,##0"/>
    <numFmt numFmtId="175" formatCode="_-* #,##0.00[$€]_-;\-* #,##0.00[$€]_-;_-* &quot;-&quot;??[$€]_-;_-@_-"/>
    <numFmt numFmtId="176" formatCode="#,##0.000_ ;[Red]\-#,##0.000\ "/>
    <numFmt numFmtId="177" formatCode="#,##0.000"/>
    <numFmt numFmtId="178" formatCode="0.0000"/>
    <numFmt numFmtId="179" formatCode="0.000"/>
    <numFmt numFmtId="180" formatCode="0.000%"/>
    <numFmt numFmtId="181" formatCode="0.0000%"/>
    <numFmt numFmtId="182" formatCode="0.00000"/>
    <numFmt numFmtId="183" formatCode="0.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[$-FC19]d\ mmmm\ yyyy\ &quot;г.&quot;"/>
    <numFmt numFmtId="188" formatCode="[$-419]mmmm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00"/>
    <numFmt numFmtId="195" formatCode="_-* #,##0.0000_р_._-;\-* #,##0.0000_р_._-;_-* &quot;-&quot;??_р_._-;_-@_-"/>
    <numFmt numFmtId="196" formatCode="_-* #,##0\ _€_-;\-* #,##0\ _€_-;_-* &quot;-&quot;??\ _€_-;_-@_-"/>
    <numFmt numFmtId="197" formatCode="_-* #,##0.00\ _€_-;\-* #,##0.00\ _€_-;_-* &quot;-&quot;??\ _€_-;_-@_-"/>
    <numFmt numFmtId="198" formatCode="[$-419]mmmm\ yyyy;@"/>
    <numFmt numFmtId="199" formatCode="0.0000000000"/>
    <numFmt numFmtId="200" formatCode="0.000000000"/>
    <numFmt numFmtId="201" formatCode="#,##0_ ;\-#,##0\ "/>
    <numFmt numFmtId="202" formatCode="#,##0.0_ ;\-#,##0.0\ "/>
    <numFmt numFmtId="203" formatCode="#,##0.0000"/>
    <numFmt numFmtId="204" formatCode="#,##0.0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8" fillId="0" borderId="0">
      <alignment/>
      <protection/>
    </xf>
    <xf numFmtId="173" fontId="9" fillId="0" borderId="0">
      <alignment horizontal="left"/>
      <protection/>
    </xf>
    <xf numFmtId="174" fontId="10" fillId="0" borderId="0">
      <alignment/>
      <protection/>
    </xf>
    <xf numFmtId="173" fontId="9" fillId="0" borderId="0">
      <alignment horizontal="left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" fillId="0" borderId="0">
      <alignment/>
      <protection/>
    </xf>
    <xf numFmtId="0" fontId="60" fillId="0" borderId="0" applyNumberFormat="0" applyFill="0" applyBorder="0" applyAlignment="0" applyProtection="0"/>
    <xf numFmtId="0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35" borderId="10" xfId="70" applyNumberFormat="1" applyFont="1" applyFill="1" applyBorder="1" applyAlignment="1">
      <alignment horizontal="right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64" fontId="5" fillId="0" borderId="11" xfId="64" applyNumberFormat="1" applyFont="1" applyFill="1" applyBorder="1" applyAlignment="1">
      <alignment vertical="center" wrapText="1"/>
      <protection/>
    </xf>
    <xf numFmtId="164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64" fontId="16" fillId="0" borderId="10" xfId="70" applyNumberFormat="1" applyFont="1" applyFill="1" applyBorder="1" applyAlignment="1">
      <alignment horizontal="right" vertical="center"/>
      <protection/>
    </xf>
    <xf numFmtId="164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66" applyFont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66" applyFont="1" applyBorder="1" applyAlignment="1">
      <alignment vertical="center"/>
      <protection/>
    </xf>
    <xf numFmtId="3" fontId="5" fillId="0" borderId="0" xfId="66" applyNumberFormat="1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69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64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64" fontId="16" fillId="0" borderId="10" xfId="70" applyNumberFormat="1" applyFont="1" applyFill="1" applyBorder="1" applyAlignment="1">
      <alignment horizontal="center" vertical="top"/>
      <protection/>
    </xf>
    <xf numFmtId="164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64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64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64" fontId="63" fillId="0" borderId="0" xfId="70" applyNumberFormat="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64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64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65" fontId="5" fillId="33" borderId="10" xfId="76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201" fontId="5" fillId="0" borderId="0" xfId="0" applyNumberFormat="1" applyFont="1" applyAlignment="1">
      <alignment/>
    </xf>
    <xf numFmtId="165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86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64" fontId="5" fillId="0" borderId="0" xfId="65" applyNumberFormat="1" applyFont="1" applyFill="1" applyProtection="1">
      <alignment/>
      <protection locked="0"/>
    </xf>
    <xf numFmtId="164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16" fillId="0" borderId="10" xfId="65" applyFont="1" applyFill="1" applyBorder="1" applyProtection="1">
      <alignment/>
      <protection locked="0"/>
    </xf>
    <xf numFmtId="3" fontId="5" fillId="0" borderId="10" xfId="65" applyNumberFormat="1" applyFont="1" applyFill="1" applyBorder="1" applyAlignment="1" applyProtection="1">
      <alignment horizontal="center"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165" fontId="17" fillId="0" borderId="0" xfId="65" applyNumberFormat="1" applyFont="1" applyFill="1" applyProtection="1">
      <alignment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64" fontId="5" fillId="0" borderId="10" xfId="69" applyNumberFormat="1" applyFont="1" applyFill="1" applyBorder="1" applyAlignment="1">
      <alignment horizontal="right" vertical="center"/>
      <protection/>
    </xf>
    <xf numFmtId="164" fontId="5" fillId="0" borderId="10" xfId="65" applyNumberFormat="1" applyFont="1" applyFill="1" applyBorder="1" applyAlignment="1" applyProtection="1">
      <alignment/>
      <protection locked="0"/>
    </xf>
    <xf numFmtId="164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64" fontId="5" fillId="39" borderId="10" xfId="65" applyNumberFormat="1" applyFont="1" applyFill="1" applyBorder="1" applyAlignment="1" applyProtection="1">
      <alignment/>
      <protection locked="0"/>
    </xf>
    <xf numFmtId="164" fontId="5" fillId="0" borderId="0" xfId="65" applyNumberFormat="1" applyFont="1" applyFill="1" applyAlignment="1" applyProtection="1">
      <alignment/>
      <protection locked="0"/>
    </xf>
    <xf numFmtId="164" fontId="63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0" fontId="16" fillId="34" borderId="10" xfId="0" applyFont="1" applyFill="1" applyBorder="1" applyAlignment="1">
      <alignment horizontal="center" vertical="center" wrapText="1" shrinkToFit="1"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79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5" fillId="0" borderId="10" xfId="66" applyFont="1" applyBorder="1" applyAlignment="1">
      <alignment vertical="center"/>
      <protection/>
    </xf>
    <xf numFmtId="3" fontId="5" fillId="0" borderId="10" xfId="66" applyNumberFormat="1" applyFont="1" applyFill="1" applyBorder="1" applyAlignment="1">
      <alignment horizontal="right" vertical="center"/>
      <protection/>
    </xf>
    <xf numFmtId="0" fontId="16" fillId="0" borderId="10" xfId="66" applyFont="1" applyBorder="1" applyAlignment="1">
      <alignment vertical="center"/>
      <protection/>
    </xf>
    <xf numFmtId="3" fontId="16" fillId="0" borderId="10" xfId="66" applyNumberFormat="1" applyFont="1" applyFill="1" applyBorder="1" applyAlignment="1">
      <alignment horizontal="right" vertical="center"/>
      <protection/>
    </xf>
    <xf numFmtId="0" fontId="16" fillId="2" borderId="11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9" fontId="5" fillId="0" borderId="10" xfId="66" applyNumberFormat="1" applyFont="1" applyFill="1" applyBorder="1" applyAlignment="1">
      <alignment horizontal="right" vertical="center"/>
      <protection/>
    </xf>
    <xf numFmtId="9" fontId="16" fillId="0" borderId="10" xfId="66" applyNumberFormat="1" applyFont="1" applyFill="1" applyBorder="1" applyAlignment="1">
      <alignment horizontal="right" vertical="center"/>
      <protection/>
    </xf>
    <xf numFmtId="49" fontId="5" fillId="0" borderId="10" xfId="66" applyNumberFormat="1" applyFont="1" applyFill="1" applyBorder="1" applyAlignment="1">
      <alignment horizontal="right" vertical="center"/>
      <protection/>
    </xf>
    <xf numFmtId="0" fontId="5" fillId="35" borderId="0" xfId="66" applyFont="1" applyFill="1">
      <alignment/>
      <protection/>
    </xf>
    <xf numFmtId="169" fontId="5" fillId="0" borderId="10" xfId="66" applyNumberFormat="1" applyFont="1" applyFill="1" applyBorder="1" applyAlignment="1">
      <alignment horizontal="right" vertical="center"/>
      <protection/>
    </xf>
    <xf numFmtId="0" fontId="16" fillId="0" borderId="0" xfId="66" applyFont="1" applyAlignment="1">
      <alignment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10" xfId="66" applyFont="1" applyBorder="1" applyAlignment="1">
      <alignment vertical="center" wrapText="1"/>
      <protection/>
    </xf>
    <xf numFmtId="9" fontId="5" fillId="2" borderId="10" xfId="66" applyNumberFormat="1" applyFont="1" applyFill="1" applyBorder="1" applyAlignment="1">
      <alignment horizontal="right" vertical="center"/>
      <protection/>
    </xf>
    <xf numFmtId="3" fontId="5" fillId="2" borderId="10" xfId="66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/>
    </xf>
    <xf numFmtId="168" fontId="5" fillId="0" borderId="10" xfId="66" applyNumberFormat="1" applyFont="1" applyFill="1" applyBorder="1" applyAlignment="1">
      <alignment horizontal="right" vertical="center"/>
      <protection/>
    </xf>
    <xf numFmtId="0" fontId="16" fillId="34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/>
    </xf>
    <xf numFmtId="0" fontId="5" fillId="2" borderId="10" xfId="66" applyFont="1" applyFill="1" applyBorder="1" applyAlignment="1">
      <alignment vertical="center"/>
      <protection/>
    </xf>
    <xf numFmtId="169" fontId="5" fillId="35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44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5" fillId="0" borderId="11" xfId="71" applyFont="1" applyFill="1" applyBorder="1" applyAlignment="1">
      <alignment horizontal="left" vertical="top"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169" fontId="5" fillId="0" borderId="15" xfId="71" applyNumberFormat="1" applyFont="1" applyFill="1" applyBorder="1" applyAlignment="1">
      <alignment wrapText="1" shrinkToFit="1"/>
      <protection/>
    </xf>
    <xf numFmtId="4" fontId="5" fillId="0" borderId="0" xfId="71" applyNumberFormat="1" applyFont="1" applyFill="1" applyBorder="1" applyAlignment="1">
      <alignment wrapText="1" shrinkToFit="1"/>
      <protection/>
    </xf>
    <xf numFmtId="165" fontId="5" fillId="33" borderId="10" xfId="0" applyNumberFormat="1" applyFont="1" applyFill="1" applyBorder="1" applyAlignment="1">
      <alignment/>
    </xf>
    <xf numFmtId="9" fontId="5" fillId="0" borderId="14" xfId="71" applyNumberFormat="1" applyFont="1" applyFill="1" applyBorder="1" applyAlignment="1">
      <alignment horizontal="center" vertical="center"/>
      <protection/>
    </xf>
    <xf numFmtId="9" fontId="5" fillId="35" borderId="14" xfId="71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49" fontId="17" fillId="0" borderId="10" xfId="0" applyNumberFormat="1" applyFont="1" applyBorder="1" applyAlignment="1">
      <alignment horizontal="left" wrapText="1"/>
    </xf>
    <xf numFmtId="0" fontId="1" fillId="0" borderId="0" xfId="53" applyAlignment="1" applyProtection="1">
      <alignment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9" fontId="5" fillId="35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5" fillId="0" borderId="10" xfId="71" applyFont="1" applyFill="1" applyBorder="1" applyAlignment="1">
      <alignment horizontal="left" vertical="top"/>
      <protection/>
    </xf>
    <xf numFmtId="0" fontId="5" fillId="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16" fillId="2" borderId="14" xfId="0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16" fillId="34" borderId="12" xfId="70" applyFont="1" applyFill="1" applyBorder="1" applyAlignment="1">
      <alignment horizontal="center" vertical="center"/>
      <protection/>
    </xf>
    <xf numFmtId="0" fontId="16" fillId="0" borderId="11" xfId="70" applyFont="1" applyFill="1" applyBorder="1" applyAlignment="1">
      <alignment horizontal="center" vertical="center" wrapText="1"/>
      <protection/>
    </xf>
    <xf numFmtId="0" fontId="16" fillId="0" borderId="16" xfId="70" applyFont="1" applyFill="1" applyBorder="1" applyAlignment="1">
      <alignment horizontal="center" vertical="center" wrapText="1"/>
      <protection/>
    </xf>
    <xf numFmtId="0" fontId="16" fillId="0" borderId="12" xfId="70" applyFont="1" applyFill="1" applyBorder="1" applyAlignment="1">
      <alignment horizontal="center" vertical="center" wrapText="1"/>
      <protection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16" fillId="34" borderId="17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164" fontId="16" fillId="34" borderId="16" xfId="70" applyNumberFormat="1" applyFont="1" applyFill="1" applyBorder="1" applyAlignment="1">
      <alignment horizontal="center" vertical="center"/>
      <protection/>
    </xf>
    <xf numFmtId="0" fontId="16" fillId="34" borderId="16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164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7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64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34" borderId="17" xfId="71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64" fontId="16" fillId="34" borderId="11" xfId="70" applyNumberFormat="1" applyFont="1" applyFill="1" applyBorder="1" applyAlignment="1">
      <alignment horizontal="center" vertical="center" wrapText="1" shrinkToFit="1"/>
      <protection/>
    </xf>
    <xf numFmtId="164" fontId="16" fillId="34" borderId="16" xfId="70" applyNumberFormat="1" applyFont="1" applyFill="1" applyBorder="1" applyAlignment="1">
      <alignment horizontal="center" vertical="center" wrapText="1" shrinkToFit="1"/>
      <protection/>
    </xf>
    <xf numFmtId="164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2" borderId="13" xfId="67" applyFont="1" applyFill="1" applyBorder="1" applyAlignment="1">
      <alignment horizontal="left" vertical="center"/>
      <protection/>
    </xf>
    <xf numFmtId="0" fontId="16" fillId="2" borderId="14" xfId="67" applyFont="1" applyFill="1" applyBorder="1" applyAlignment="1">
      <alignment horizontal="lef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ztechprom.kz/3tech/mini-zavod/krupa/764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W144"/>
  <sheetViews>
    <sheetView showGridLines="0" showZeros="0" zoomScalePageLayoutView="0" workbookViewId="0" topLeftCell="A1">
      <pane xSplit="3" ySplit="6" topLeftCell="D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P35" sqref="CP35"/>
    </sheetView>
  </sheetViews>
  <sheetFormatPr defaultColWidth="8.625" defaultRowHeight="12.75" outlineLevelRow="1" outlineLevelCol="1"/>
  <cols>
    <col min="1" max="1" width="37.25390625" style="60" customWidth="1"/>
    <col min="2" max="2" width="10.125" style="61" customWidth="1"/>
    <col min="3" max="3" width="1.875" style="61" customWidth="1"/>
    <col min="4" max="6" width="7.75390625" style="6" hidden="1" customWidth="1" outlineLevel="1"/>
    <col min="7" max="7" width="7.75390625" style="57" hidden="1" customWidth="1" outlineLevel="1"/>
    <col min="8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41" width="7.625" style="6" hidden="1" customWidth="1" outlineLevel="1"/>
    <col min="42" max="42" width="8.625" style="7" customWidth="1" collapsed="1"/>
    <col min="43" max="54" width="7.625" style="6" hidden="1" customWidth="1" outlineLevel="1"/>
    <col min="55" max="55" width="8.625" style="7" customWidth="1" collapsed="1"/>
    <col min="56" max="67" width="7.625" style="6" hidden="1" customWidth="1" outlineLevel="1"/>
    <col min="68" max="68" width="8.75390625" style="7" customWidth="1" collapsed="1"/>
    <col min="69" max="80" width="7.625" style="6" hidden="1" customWidth="1" outlineLevel="1"/>
    <col min="81" max="81" width="8.625" style="7" customWidth="1" collapsed="1"/>
    <col min="82" max="93" width="7.625" style="6" hidden="1" customWidth="1" outlineLevel="1"/>
    <col min="94" max="94" width="7.875" style="8" bestFit="1" customWidth="1" collapsed="1"/>
    <col min="95" max="101" width="8.75390625" style="8" bestFit="1" customWidth="1"/>
    <col min="102" max="16384" width="8.625" style="8" customWidth="1"/>
  </cols>
  <sheetData>
    <row r="1" spans="1:92" ht="12.75">
      <c r="A1" s="62" t="s">
        <v>173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  <c r="AD1" s="2"/>
      <c r="AE1" s="2"/>
      <c r="AF1" s="2"/>
      <c r="AG1" s="2"/>
      <c r="AH1" s="2"/>
      <c r="AI1" s="4"/>
      <c r="AJ1" s="4"/>
      <c r="AK1" s="4"/>
      <c r="AL1" s="4"/>
      <c r="AM1" s="4"/>
      <c r="AN1" s="5"/>
      <c r="AQ1" s="2"/>
      <c r="AR1" s="2"/>
      <c r="AS1" s="2"/>
      <c r="AT1" s="2"/>
      <c r="AU1" s="2"/>
      <c r="AV1" s="4"/>
      <c r="AW1" s="4"/>
      <c r="AX1" s="4"/>
      <c r="AY1" s="4"/>
      <c r="AZ1" s="4"/>
      <c r="BA1" s="5"/>
      <c r="BD1" s="2"/>
      <c r="BE1" s="2"/>
      <c r="BF1" s="2"/>
      <c r="BG1" s="2"/>
      <c r="BH1" s="2"/>
      <c r="BI1" s="4"/>
      <c r="BJ1" s="4"/>
      <c r="BK1" s="4"/>
      <c r="BL1" s="4"/>
      <c r="BM1" s="4"/>
      <c r="BN1" s="5"/>
      <c r="BQ1" s="2"/>
      <c r="BR1" s="2"/>
      <c r="BS1" s="2"/>
      <c r="BT1" s="2"/>
      <c r="BU1" s="2"/>
      <c r="BV1" s="4"/>
      <c r="BW1" s="4"/>
      <c r="BX1" s="4"/>
      <c r="BY1" s="4"/>
      <c r="BZ1" s="4"/>
      <c r="CA1" s="5"/>
      <c r="CD1" s="2"/>
      <c r="CE1" s="2"/>
      <c r="CF1" s="2"/>
      <c r="CG1" s="2"/>
      <c r="CH1" s="2"/>
      <c r="CI1" s="4"/>
      <c r="CJ1" s="4"/>
      <c r="CK1" s="4"/>
      <c r="CL1" s="4"/>
      <c r="CM1" s="4"/>
      <c r="CN1" s="5"/>
    </row>
    <row r="2" spans="1:92" ht="12.75" hidden="1" outlineLevel="1">
      <c r="A2" s="9">
        <f>MAX(K37:CC37)</f>
        <v>22450.971989130478</v>
      </c>
      <c r="B2" s="10">
        <f>MIN(G37:CP37)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  <c r="AD2" s="2"/>
      <c r="AE2" s="2"/>
      <c r="AF2" s="2"/>
      <c r="AG2" s="2"/>
      <c r="AH2" s="2"/>
      <c r="AI2" s="4"/>
      <c r="AJ2" s="4"/>
      <c r="AK2" s="4"/>
      <c r="AL2" s="4"/>
      <c r="AM2" s="4"/>
      <c r="AN2" s="5"/>
      <c r="AQ2" s="2"/>
      <c r="AR2" s="2"/>
      <c r="AS2" s="2"/>
      <c r="AT2" s="2"/>
      <c r="AU2" s="2"/>
      <c r="AV2" s="4"/>
      <c r="AW2" s="4"/>
      <c r="AX2" s="4"/>
      <c r="AY2" s="4"/>
      <c r="AZ2" s="4"/>
      <c r="BA2" s="5"/>
      <c r="BD2" s="2"/>
      <c r="BE2" s="2"/>
      <c r="BF2" s="2"/>
      <c r="BG2" s="2"/>
      <c r="BH2" s="2"/>
      <c r="BI2" s="4"/>
      <c r="BJ2" s="4"/>
      <c r="BK2" s="4"/>
      <c r="BL2" s="4"/>
      <c r="BM2" s="4"/>
      <c r="BN2" s="5"/>
      <c r="BQ2" s="2"/>
      <c r="BR2" s="2"/>
      <c r="BS2" s="2"/>
      <c r="BT2" s="2"/>
      <c r="BU2" s="2"/>
      <c r="BV2" s="4"/>
      <c r="BW2" s="4"/>
      <c r="BX2" s="4"/>
      <c r="BY2" s="4"/>
      <c r="BZ2" s="4"/>
      <c r="CA2" s="5"/>
      <c r="CD2" s="2"/>
      <c r="CE2" s="2"/>
      <c r="CF2" s="2"/>
      <c r="CG2" s="2"/>
      <c r="CH2" s="2"/>
      <c r="CI2" s="4"/>
      <c r="CJ2" s="4"/>
      <c r="CK2" s="4"/>
      <c r="CL2" s="4"/>
      <c r="CM2" s="4"/>
      <c r="CN2" s="5"/>
    </row>
    <row r="3" spans="1:92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  <c r="AD3" s="2"/>
      <c r="AE3" s="2"/>
      <c r="AF3" s="2"/>
      <c r="AG3" s="2"/>
      <c r="AH3" s="2"/>
      <c r="AI3" s="4"/>
      <c r="AJ3" s="4"/>
      <c r="AK3" s="4"/>
      <c r="AL3" s="4"/>
      <c r="AM3" s="4"/>
      <c r="AN3" s="5"/>
      <c r="AQ3" s="2"/>
      <c r="AR3" s="2"/>
      <c r="AS3" s="2"/>
      <c r="AT3" s="2"/>
      <c r="AU3" s="2"/>
      <c r="AV3" s="4"/>
      <c r="AW3" s="4"/>
      <c r="AX3" s="4"/>
      <c r="AY3" s="4"/>
      <c r="AZ3" s="4"/>
      <c r="BA3" s="5"/>
      <c r="BD3" s="2"/>
      <c r="BE3" s="2"/>
      <c r="BF3" s="2"/>
      <c r="BG3" s="2"/>
      <c r="BH3" s="2"/>
      <c r="BI3" s="4"/>
      <c r="BJ3" s="4"/>
      <c r="BK3" s="4"/>
      <c r="BL3" s="4"/>
      <c r="BM3" s="4"/>
      <c r="BN3" s="5"/>
      <c r="BQ3" s="2"/>
      <c r="BR3" s="2"/>
      <c r="BS3" s="2"/>
      <c r="BT3" s="2"/>
      <c r="BU3" s="2"/>
      <c r="BV3" s="4"/>
      <c r="BW3" s="4"/>
      <c r="BX3" s="4"/>
      <c r="BY3" s="4"/>
      <c r="BZ3" s="4"/>
      <c r="CA3" s="5"/>
      <c r="CD3" s="2"/>
      <c r="CE3" s="2"/>
      <c r="CF3" s="2"/>
      <c r="CG3" s="2"/>
      <c r="CH3" s="2"/>
      <c r="CI3" s="4"/>
      <c r="CJ3" s="4"/>
      <c r="CK3" s="4"/>
      <c r="CL3" s="4"/>
      <c r="CM3" s="4"/>
      <c r="CN3" s="5"/>
    </row>
    <row r="4" spans="1:92" ht="12.75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  <c r="AD4" s="2"/>
      <c r="AE4" s="2"/>
      <c r="AF4" s="3"/>
      <c r="AG4" s="2"/>
      <c r="AI4" s="13"/>
      <c r="AJ4" s="2"/>
      <c r="AK4" s="2"/>
      <c r="AL4" s="14"/>
      <c r="AM4" s="2"/>
      <c r="AN4" s="2"/>
      <c r="AQ4" s="2"/>
      <c r="AR4" s="2"/>
      <c r="AS4" s="3"/>
      <c r="AT4" s="2"/>
      <c r="AV4" s="13"/>
      <c r="AW4" s="2"/>
      <c r="AX4" s="2"/>
      <c r="AY4" s="14"/>
      <c r="AZ4" s="2"/>
      <c r="BA4" s="2"/>
      <c r="BD4" s="2"/>
      <c r="BE4" s="2"/>
      <c r="BF4" s="3"/>
      <c r="BG4" s="2"/>
      <c r="BI4" s="13"/>
      <c r="BJ4" s="2"/>
      <c r="BK4" s="2"/>
      <c r="BL4" s="14"/>
      <c r="BM4" s="2"/>
      <c r="BN4" s="2"/>
      <c r="BQ4" s="2"/>
      <c r="BR4" s="2"/>
      <c r="BS4" s="3"/>
      <c r="BT4" s="2"/>
      <c r="BV4" s="13"/>
      <c r="BW4" s="2"/>
      <c r="BX4" s="2"/>
      <c r="BY4" s="14"/>
      <c r="BZ4" s="2"/>
      <c r="CA4" s="2"/>
      <c r="CD4" s="2"/>
      <c r="CE4" s="2"/>
      <c r="CF4" s="3"/>
      <c r="CG4" s="2"/>
      <c r="CI4" s="13"/>
      <c r="CJ4" s="2"/>
      <c r="CK4" s="2"/>
      <c r="CL4" s="14"/>
      <c r="CM4" s="2"/>
      <c r="CN4" s="2"/>
    </row>
    <row r="5" spans="1:94" ht="15.75" customHeight="1">
      <c r="A5" s="278" t="s">
        <v>3</v>
      </c>
      <c r="B5" s="280" t="s">
        <v>1</v>
      </c>
      <c r="C5" s="15"/>
      <c r="D5" s="280">
        <v>2012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>
        <v>2013</v>
      </c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75">
        <v>2014</v>
      </c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7"/>
      <c r="AQ5" s="275">
        <v>2015</v>
      </c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7"/>
      <c r="BD5" s="275">
        <v>2016</v>
      </c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7"/>
      <c r="BQ5" s="275">
        <f>BD5+1</f>
        <v>2017</v>
      </c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7"/>
      <c r="CD5" s="275">
        <f>BQ5+1</f>
        <v>2018</v>
      </c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7"/>
    </row>
    <row r="6" spans="1:94" ht="12.75">
      <c r="A6" s="279"/>
      <c r="B6" s="280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1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1</v>
      </c>
      <c r="AD6" s="16">
        <v>1</v>
      </c>
      <c r="AE6" s="16">
        <f aca="true" t="shared" si="2" ref="AE6:AO6">AD6+1</f>
        <v>2</v>
      </c>
      <c r="AF6" s="16">
        <f t="shared" si="2"/>
        <v>3</v>
      </c>
      <c r="AG6" s="16">
        <f t="shared" si="2"/>
        <v>4</v>
      </c>
      <c r="AH6" s="16">
        <f t="shared" si="2"/>
        <v>5</v>
      </c>
      <c r="AI6" s="16">
        <f t="shared" si="2"/>
        <v>6</v>
      </c>
      <c r="AJ6" s="16">
        <f t="shared" si="2"/>
        <v>7</v>
      </c>
      <c r="AK6" s="16">
        <f t="shared" si="2"/>
        <v>8</v>
      </c>
      <c r="AL6" s="16">
        <f t="shared" si="2"/>
        <v>9</v>
      </c>
      <c r="AM6" s="16">
        <f t="shared" si="2"/>
        <v>10</v>
      </c>
      <c r="AN6" s="16">
        <f t="shared" si="2"/>
        <v>11</v>
      </c>
      <c r="AO6" s="16">
        <f t="shared" si="2"/>
        <v>12</v>
      </c>
      <c r="AP6" s="15" t="s">
        <v>1</v>
      </c>
      <c r="AQ6" s="16">
        <v>1</v>
      </c>
      <c r="AR6" s="16">
        <f aca="true" t="shared" si="3" ref="AR6:BB6">AQ6+1</f>
        <v>2</v>
      </c>
      <c r="AS6" s="16">
        <f t="shared" si="3"/>
        <v>3</v>
      </c>
      <c r="AT6" s="16">
        <f t="shared" si="3"/>
        <v>4</v>
      </c>
      <c r="AU6" s="16">
        <f t="shared" si="3"/>
        <v>5</v>
      </c>
      <c r="AV6" s="16">
        <f t="shared" si="3"/>
        <v>6</v>
      </c>
      <c r="AW6" s="16">
        <f t="shared" si="3"/>
        <v>7</v>
      </c>
      <c r="AX6" s="16">
        <f t="shared" si="3"/>
        <v>8</v>
      </c>
      <c r="AY6" s="16">
        <f t="shared" si="3"/>
        <v>9</v>
      </c>
      <c r="AZ6" s="16">
        <f t="shared" si="3"/>
        <v>10</v>
      </c>
      <c r="BA6" s="16">
        <f t="shared" si="3"/>
        <v>11</v>
      </c>
      <c r="BB6" s="16">
        <f t="shared" si="3"/>
        <v>12</v>
      </c>
      <c r="BC6" s="15" t="s">
        <v>1</v>
      </c>
      <c r="BD6" s="16">
        <v>1</v>
      </c>
      <c r="BE6" s="16">
        <f aca="true" t="shared" si="4" ref="BE6:BO6">BD6+1</f>
        <v>2</v>
      </c>
      <c r="BF6" s="16">
        <f t="shared" si="4"/>
        <v>3</v>
      </c>
      <c r="BG6" s="16">
        <f t="shared" si="4"/>
        <v>4</v>
      </c>
      <c r="BH6" s="16">
        <f t="shared" si="4"/>
        <v>5</v>
      </c>
      <c r="BI6" s="16">
        <f t="shared" si="4"/>
        <v>6</v>
      </c>
      <c r="BJ6" s="16">
        <f t="shared" si="4"/>
        <v>7</v>
      </c>
      <c r="BK6" s="16">
        <f t="shared" si="4"/>
        <v>8</v>
      </c>
      <c r="BL6" s="16">
        <f t="shared" si="4"/>
        <v>9</v>
      </c>
      <c r="BM6" s="16">
        <f t="shared" si="4"/>
        <v>10</v>
      </c>
      <c r="BN6" s="16">
        <f t="shared" si="4"/>
        <v>11</v>
      </c>
      <c r="BO6" s="16">
        <f t="shared" si="4"/>
        <v>12</v>
      </c>
      <c r="BP6" s="15" t="s">
        <v>1</v>
      </c>
      <c r="BQ6" s="16">
        <v>1</v>
      </c>
      <c r="BR6" s="16">
        <f aca="true" t="shared" si="5" ref="BR6:CB6">BQ6+1</f>
        <v>2</v>
      </c>
      <c r="BS6" s="16">
        <f t="shared" si="5"/>
        <v>3</v>
      </c>
      <c r="BT6" s="16">
        <f t="shared" si="5"/>
        <v>4</v>
      </c>
      <c r="BU6" s="16">
        <f t="shared" si="5"/>
        <v>5</v>
      </c>
      <c r="BV6" s="16">
        <f t="shared" si="5"/>
        <v>6</v>
      </c>
      <c r="BW6" s="16">
        <f t="shared" si="5"/>
        <v>7</v>
      </c>
      <c r="BX6" s="16">
        <f t="shared" si="5"/>
        <v>8</v>
      </c>
      <c r="BY6" s="16">
        <f t="shared" si="5"/>
        <v>9</v>
      </c>
      <c r="BZ6" s="16">
        <f t="shared" si="5"/>
        <v>10</v>
      </c>
      <c r="CA6" s="16">
        <f t="shared" si="5"/>
        <v>11</v>
      </c>
      <c r="CB6" s="16">
        <f t="shared" si="5"/>
        <v>12</v>
      </c>
      <c r="CC6" s="15" t="s">
        <v>1</v>
      </c>
      <c r="CD6" s="16">
        <v>1</v>
      </c>
      <c r="CE6" s="16">
        <f aca="true" t="shared" si="6" ref="CE6:CO6">CD6+1</f>
        <v>2</v>
      </c>
      <c r="CF6" s="16">
        <f t="shared" si="6"/>
        <v>3</v>
      </c>
      <c r="CG6" s="16">
        <f t="shared" si="6"/>
        <v>4</v>
      </c>
      <c r="CH6" s="16">
        <f t="shared" si="6"/>
        <v>5</v>
      </c>
      <c r="CI6" s="16">
        <f t="shared" si="6"/>
        <v>6</v>
      </c>
      <c r="CJ6" s="16">
        <f t="shared" si="6"/>
        <v>7</v>
      </c>
      <c r="CK6" s="16">
        <f t="shared" si="6"/>
        <v>8</v>
      </c>
      <c r="CL6" s="16">
        <f t="shared" si="6"/>
        <v>9</v>
      </c>
      <c r="CM6" s="16">
        <f t="shared" si="6"/>
        <v>10</v>
      </c>
      <c r="CN6" s="16">
        <f t="shared" si="6"/>
        <v>11</v>
      </c>
      <c r="CO6" s="16">
        <f t="shared" si="6"/>
        <v>12</v>
      </c>
      <c r="CP6" s="15" t="s">
        <v>1</v>
      </c>
    </row>
    <row r="7" spans="1:94" s="21" customFormat="1" ht="25.5">
      <c r="A7" s="17" t="s">
        <v>228</v>
      </c>
      <c r="B7" s="18">
        <f>P7</f>
        <v>0</v>
      </c>
      <c r="C7" s="19"/>
      <c r="D7" s="20">
        <f>C37</f>
        <v>0</v>
      </c>
      <c r="E7" s="20">
        <f aca="true" t="shared" si="7" ref="E7:K7">D37</f>
        <v>0</v>
      </c>
      <c r="F7" s="20">
        <f t="shared" si="7"/>
        <v>0</v>
      </c>
      <c r="G7" s="20">
        <f t="shared" si="7"/>
        <v>0</v>
      </c>
      <c r="H7" s="20">
        <f t="shared" si="7"/>
        <v>0</v>
      </c>
      <c r="I7" s="20">
        <f t="shared" si="7"/>
        <v>1652.0626999999997</v>
      </c>
      <c r="J7" s="20">
        <f t="shared" si="7"/>
        <v>1588.9357999999997</v>
      </c>
      <c r="K7" s="20">
        <f t="shared" si="7"/>
        <v>1217.2135528985507</v>
      </c>
      <c r="L7" s="20">
        <f>K37</f>
        <v>952.1277137681162</v>
      </c>
      <c r="M7" s="20">
        <f>L37</f>
        <v>688.8678826086962</v>
      </c>
      <c r="N7" s="20">
        <f>M37</f>
        <v>532.2444594202901</v>
      </c>
      <c r="O7" s="20">
        <f>N37</f>
        <v>377.44704420289895</v>
      </c>
      <c r="P7" s="20">
        <f>D7</f>
        <v>0</v>
      </c>
      <c r="Q7" s="20">
        <f>P37</f>
        <v>224.4756369565222</v>
      </c>
      <c r="R7" s="20">
        <f aca="true" t="shared" si="8" ref="R7:AA7">Q37</f>
        <v>148.23768768116</v>
      </c>
      <c r="S7" s="20">
        <f t="shared" si="8"/>
        <v>73.82574637681219</v>
      </c>
      <c r="T7" s="20">
        <f t="shared" si="8"/>
        <v>1.2398130434788186</v>
      </c>
      <c r="U7" s="20">
        <f t="shared" si="8"/>
        <v>35.29028768116015</v>
      </c>
      <c r="V7" s="20">
        <f t="shared" si="8"/>
        <v>71.16677028985589</v>
      </c>
      <c r="W7" s="20">
        <f t="shared" si="8"/>
        <v>108.86926086956603</v>
      </c>
      <c r="X7" s="20">
        <f t="shared" si="8"/>
        <v>253.20815942028995</v>
      </c>
      <c r="Y7" s="20">
        <f t="shared" si="8"/>
        <v>399.37306594202823</v>
      </c>
      <c r="Z7" s="20">
        <f t="shared" si="8"/>
        <v>547.3639804347814</v>
      </c>
      <c r="AA7" s="20">
        <f t="shared" si="8"/>
        <v>801.9913028985493</v>
      </c>
      <c r="AB7" s="20">
        <f>AA37</f>
        <v>1058.4446333333317</v>
      </c>
      <c r="AC7" s="20">
        <f>Q7</f>
        <v>224.4756369565222</v>
      </c>
      <c r="AD7" s="20">
        <f aca="true" t="shared" si="9" ref="AD7:AO7">AC37</f>
        <v>1316.7239717391285</v>
      </c>
      <c r="AE7" s="20">
        <f t="shared" si="9"/>
        <v>1566.8616681159406</v>
      </c>
      <c r="AF7" s="20">
        <f t="shared" si="9"/>
        <v>1818.8253724637675</v>
      </c>
      <c r="AG7" s="20">
        <f t="shared" si="9"/>
        <v>2072.615084782609</v>
      </c>
      <c r="AH7" s="20">
        <f t="shared" si="9"/>
        <v>2328.2308050724646</v>
      </c>
      <c r="AI7" s="20">
        <f t="shared" si="9"/>
        <v>2585.6725333333347</v>
      </c>
      <c r="AJ7" s="20">
        <f t="shared" si="9"/>
        <v>2844.9402695652193</v>
      </c>
      <c r="AK7" s="20">
        <f t="shared" si="9"/>
        <v>3106.0340137681187</v>
      </c>
      <c r="AL7" s="20">
        <f t="shared" si="9"/>
        <v>3368.9537659420325</v>
      </c>
      <c r="AM7" s="20">
        <f t="shared" si="9"/>
        <v>3633.6995260869608</v>
      </c>
      <c r="AN7" s="20">
        <f t="shared" si="9"/>
        <v>3900.2712942029034</v>
      </c>
      <c r="AO7" s="20">
        <f t="shared" si="9"/>
        <v>4168.6690702898595</v>
      </c>
      <c r="AP7" s="20">
        <f>AC37</f>
        <v>1316.7239717391285</v>
      </c>
      <c r="AQ7" s="20">
        <f aca="true" t="shared" si="10" ref="AQ7:BB7">AP37</f>
        <v>4438.8928543478305</v>
      </c>
      <c r="AR7" s="20">
        <f t="shared" si="10"/>
        <v>4809.1079463768165</v>
      </c>
      <c r="AS7" s="20">
        <f t="shared" si="10"/>
        <v>5181.149046376817</v>
      </c>
      <c r="AT7" s="20">
        <f t="shared" si="10"/>
        <v>5555.016154347832</v>
      </c>
      <c r="AU7" s="20">
        <f t="shared" si="10"/>
        <v>5930.709270289861</v>
      </c>
      <c r="AV7" s="20">
        <f t="shared" si="10"/>
        <v>6308.228394202904</v>
      </c>
      <c r="AW7" s="20">
        <f t="shared" si="10"/>
        <v>6687.573526086962</v>
      </c>
      <c r="AX7" s="20">
        <f t="shared" si="10"/>
        <v>7068.744665942035</v>
      </c>
      <c r="AY7" s="20">
        <f t="shared" si="10"/>
        <v>7451.741813768122</v>
      </c>
      <c r="AZ7" s="20">
        <f t="shared" si="10"/>
        <v>7836.564969565223</v>
      </c>
      <c r="BA7" s="20">
        <f t="shared" si="10"/>
        <v>8223.214133333338</v>
      </c>
      <c r="BB7" s="20">
        <f t="shared" si="10"/>
        <v>8611.689305072468</v>
      </c>
      <c r="BC7" s="20">
        <f>AP37</f>
        <v>4438.8928543478305</v>
      </c>
      <c r="BD7" s="20">
        <f aca="true" t="shared" si="11" ref="BD7:BO7">BC37</f>
        <v>9001.990484782622</v>
      </c>
      <c r="BE7" s="20">
        <f t="shared" si="11"/>
        <v>9492.282972463781</v>
      </c>
      <c r="BF7" s="20">
        <f t="shared" si="11"/>
        <v>9984.401468115955</v>
      </c>
      <c r="BG7" s="20">
        <f t="shared" si="11"/>
        <v>10478.345971739143</v>
      </c>
      <c r="BH7" s="20">
        <f t="shared" si="11"/>
        <v>10974.116483333346</v>
      </c>
      <c r="BI7" s="20">
        <f t="shared" si="11"/>
        <v>11471.713002898563</v>
      </c>
      <c r="BJ7" s="20">
        <f t="shared" si="11"/>
        <v>11971.135530434794</v>
      </c>
      <c r="BK7" s="20">
        <f t="shared" si="11"/>
        <v>12472.38406594204</v>
      </c>
      <c r="BL7" s="20">
        <f t="shared" si="11"/>
        <v>12975.458609420302</v>
      </c>
      <c r="BM7" s="20">
        <f t="shared" si="11"/>
        <v>13480.359160869577</v>
      </c>
      <c r="BN7" s="20">
        <f t="shared" si="11"/>
        <v>13987.085720289868</v>
      </c>
      <c r="BO7" s="20">
        <f t="shared" si="11"/>
        <v>14495.638287681171</v>
      </c>
      <c r="BP7" s="20">
        <f>BD7</f>
        <v>9001.990484782622</v>
      </c>
      <c r="BQ7" s="20">
        <f aca="true" t="shared" si="12" ref="BQ7:CB7">BP37</f>
        <v>15006.016863043495</v>
      </c>
      <c r="BR7" s="20">
        <f t="shared" si="12"/>
        <v>15616.386746376827</v>
      </c>
      <c r="BS7" s="20">
        <f t="shared" si="12"/>
        <v>16228.582637681176</v>
      </c>
      <c r="BT7" s="20">
        <f t="shared" si="12"/>
        <v>16842.60453695654</v>
      </c>
      <c r="BU7" s="20">
        <f t="shared" si="12"/>
        <v>17458.452444202918</v>
      </c>
      <c r="BV7" s="20">
        <f t="shared" si="12"/>
        <v>18076.126359420312</v>
      </c>
      <c r="BW7" s="20">
        <f t="shared" si="12"/>
        <v>18695.62628260872</v>
      </c>
      <c r="BX7" s="20">
        <f t="shared" si="12"/>
        <v>19316.95221376814</v>
      </c>
      <c r="BY7" s="20">
        <f t="shared" si="12"/>
        <v>19940.10415289858</v>
      </c>
      <c r="BZ7" s="20">
        <f t="shared" si="12"/>
        <v>20565.082100000032</v>
      </c>
      <c r="CA7" s="20">
        <f t="shared" si="12"/>
        <v>21191.8860550725</v>
      </c>
      <c r="CB7" s="20">
        <f t="shared" si="12"/>
        <v>21820.51601811598</v>
      </c>
      <c r="CC7" s="20">
        <f>BP37</f>
        <v>15006.016863043495</v>
      </c>
      <c r="CD7" s="20">
        <f aca="true" t="shared" si="13" ref="CD7:CO7">CC37</f>
        <v>22450.971989130452</v>
      </c>
      <c r="CE7" s="20">
        <f t="shared" si="13"/>
        <v>23083.25396811596</v>
      </c>
      <c r="CF7" s="20">
        <f t="shared" si="13"/>
        <v>23717.361955072487</v>
      </c>
      <c r="CG7" s="20">
        <f t="shared" si="13"/>
        <v>24353.295950000025</v>
      </c>
      <c r="CH7" s="20">
        <f t="shared" si="13"/>
        <v>25173.656750000027</v>
      </c>
      <c r="CI7" s="20">
        <f t="shared" si="13"/>
        <v>25994.01755000003</v>
      </c>
      <c r="CJ7" s="20">
        <f t="shared" si="13"/>
        <v>26814.37835000003</v>
      </c>
      <c r="CK7" s="20">
        <f t="shared" si="13"/>
        <v>27634.739150000034</v>
      </c>
      <c r="CL7" s="20">
        <f t="shared" si="13"/>
        <v>28455.099950000036</v>
      </c>
      <c r="CM7" s="20">
        <f t="shared" si="13"/>
        <v>29275.46075000004</v>
      </c>
      <c r="CN7" s="20">
        <f t="shared" si="13"/>
        <v>30095.82155000004</v>
      </c>
      <c r="CO7" s="20">
        <f t="shared" si="13"/>
        <v>30916.182350000043</v>
      </c>
      <c r="CP7" s="20">
        <f>CC37</f>
        <v>22450.971989130452</v>
      </c>
    </row>
    <row r="8" spans="1:94" s="21" customFormat="1" ht="12.75">
      <c r="A8" s="22" t="s">
        <v>10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</row>
    <row r="9" spans="1:94" s="21" customFormat="1" ht="12.75">
      <c r="A9" s="26" t="s">
        <v>18</v>
      </c>
      <c r="B9" s="27">
        <f>P9+AC9+AP9+BC9+BP9+CC9+CP9</f>
        <v>272598.48000000004</v>
      </c>
      <c r="C9" s="27"/>
      <c r="D9" s="27">
        <f aca="true" t="shared" si="14" ref="D9:CP9">SUM(D10:D12)</f>
        <v>0</v>
      </c>
      <c r="E9" s="27">
        <f t="shared" si="14"/>
        <v>0</v>
      </c>
      <c r="F9" s="27">
        <f t="shared" si="14"/>
        <v>0</v>
      </c>
      <c r="G9" s="27">
        <f t="shared" si="14"/>
        <v>0</v>
      </c>
      <c r="H9" s="27">
        <f t="shared" si="14"/>
        <v>1501.9199999999998</v>
      </c>
      <c r="I9" s="27">
        <f t="shared" si="14"/>
        <v>1752.24</v>
      </c>
      <c r="J9" s="27">
        <f t="shared" si="14"/>
        <v>1752.24</v>
      </c>
      <c r="K9" s="27">
        <f t="shared" si="14"/>
        <v>2002.5600000000002</v>
      </c>
      <c r="L9" s="27">
        <f t="shared" si="14"/>
        <v>2002.5600000000002</v>
      </c>
      <c r="M9" s="27">
        <f t="shared" si="14"/>
        <v>2252.88</v>
      </c>
      <c r="N9" s="27">
        <f t="shared" si="14"/>
        <v>2252.88</v>
      </c>
      <c r="O9" s="27">
        <f t="shared" si="14"/>
        <v>2252.88</v>
      </c>
      <c r="P9" s="27">
        <f t="shared" si="14"/>
        <v>15770.160000000003</v>
      </c>
      <c r="Q9" s="27">
        <f t="shared" si="14"/>
        <v>2503.2000000000003</v>
      </c>
      <c r="R9" s="27">
        <f t="shared" si="14"/>
        <v>2503.2000000000003</v>
      </c>
      <c r="S9" s="27">
        <f t="shared" si="14"/>
        <v>2503.2000000000003</v>
      </c>
      <c r="T9" s="27">
        <f t="shared" si="14"/>
        <v>2753.52</v>
      </c>
      <c r="U9" s="27">
        <f t="shared" si="14"/>
        <v>2753.52</v>
      </c>
      <c r="V9" s="27">
        <f t="shared" si="14"/>
        <v>2753.52</v>
      </c>
      <c r="W9" s="27">
        <f t="shared" si="14"/>
        <v>3003.8399999999997</v>
      </c>
      <c r="X9" s="27">
        <f t="shared" si="14"/>
        <v>3003.8399999999997</v>
      </c>
      <c r="Y9" s="27">
        <f t="shared" si="14"/>
        <v>3003.8399999999997</v>
      </c>
      <c r="Z9" s="27">
        <f t="shared" si="14"/>
        <v>3254.16</v>
      </c>
      <c r="AA9" s="27">
        <f t="shared" si="14"/>
        <v>3254.16</v>
      </c>
      <c r="AB9" s="27">
        <f t="shared" si="14"/>
        <v>3254.16</v>
      </c>
      <c r="AC9" s="27">
        <f t="shared" si="14"/>
        <v>34544.16</v>
      </c>
      <c r="AD9" s="27">
        <f aca="true" t="shared" si="15" ref="AD9:AO9">SUM(AD10:AD12)</f>
        <v>3254.1600000000003</v>
      </c>
      <c r="AE9" s="27">
        <f t="shared" si="15"/>
        <v>3254.1600000000003</v>
      </c>
      <c r="AF9" s="27">
        <f t="shared" si="15"/>
        <v>3254.1600000000003</v>
      </c>
      <c r="AG9" s="27">
        <f t="shared" si="15"/>
        <v>3254.1600000000003</v>
      </c>
      <c r="AH9" s="27">
        <f t="shared" si="15"/>
        <v>3254.1600000000003</v>
      </c>
      <c r="AI9" s="27">
        <f t="shared" si="15"/>
        <v>3254.1600000000003</v>
      </c>
      <c r="AJ9" s="27">
        <f t="shared" si="15"/>
        <v>3254.1600000000003</v>
      </c>
      <c r="AK9" s="27">
        <f t="shared" si="15"/>
        <v>3254.1600000000003</v>
      </c>
      <c r="AL9" s="27">
        <f t="shared" si="15"/>
        <v>3254.1600000000003</v>
      </c>
      <c r="AM9" s="27">
        <f t="shared" si="15"/>
        <v>3254.1600000000003</v>
      </c>
      <c r="AN9" s="27">
        <f t="shared" si="15"/>
        <v>3254.1600000000003</v>
      </c>
      <c r="AO9" s="27">
        <f t="shared" si="15"/>
        <v>3254.1600000000003</v>
      </c>
      <c r="AP9" s="27">
        <f t="shared" si="14"/>
        <v>39049.920000000006</v>
      </c>
      <c r="AQ9" s="27">
        <f t="shared" si="14"/>
        <v>3504.48</v>
      </c>
      <c r="AR9" s="27">
        <f t="shared" si="14"/>
        <v>3504.48</v>
      </c>
      <c r="AS9" s="27">
        <f t="shared" si="14"/>
        <v>3504.48</v>
      </c>
      <c r="AT9" s="27">
        <f t="shared" si="14"/>
        <v>3504.48</v>
      </c>
      <c r="AU9" s="27">
        <f t="shared" si="14"/>
        <v>3504.48</v>
      </c>
      <c r="AV9" s="27">
        <f t="shared" si="14"/>
        <v>3504.48</v>
      </c>
      <c r="AW9" s="27">
        <f t="shared" si="14"/>
        <v>3504.48</v>
      </c>
      <c r="AX9" s="27">
        <f t="shared" si="14"/>
        <v>3504.48</v>
      </c>
      <c r="AY9" s="27">
        <f t="shared" si="14"/>
        <v>3504.48</v>
      </c>
      <c r="AZ9" s="27">
        <f t="shared" si="14"/>
        <v>3504.48</v>
      </c>
      <c r="BA9" s="27">
        <f t="shared" si="14"/>
        <v>3504.48</v>
      </c>
      <c r="BB9" s="27">
        <f t="shared" si="14"/>
        <v>3504.48</v>
      </c>
      <c r="BC9" s="27">
        <f aca="true" t="shared" si="16" ref="BC9:BO9">SUM(BC10:BC12)</f>
        <v>42053.76</v>
      </c>
      <c r="BD9" s="27">
        <f t="shared" si="16"/>
        <v>3754.8</v>
      </c>
      <c r="BE9" s="27">
        <f t="shared" si="16"/>
        <v>3754.8</v>
      </c>
      <c r="BF9" s="27">
        <f t="shared" si="16"/>
        <v>3754.8</v>
      </c>
      <c r="BG9" s="27">
        <f t="shared" si="16"/>
        <v>3754.8</v>
      </c>
      <c r="BH9" s="27">
        <f t="shared" si="16"/>
        <v>3754.8</v>
      </c>
      <c r="BI9" s="27">
        <f t="shared" si="16"/>
        <v>3754.8</v>
      </c>
      <c r="BJ9" s="27">
        <f t="shared" si="16"/>
        <v>3754.8</v>
      </c>
      <c r="BK9" s="27">
        <f t="shared" si="16"/>
        <v>3754.8</v>
      </c>
      <c r="BL9" s="27">
        <f t="shared" si="16"/>
        <v>3754.8</v>
      </c>
      <c r="BM9" s="27">
        <f t="shared" si="16"/>
        <v>3754.8</v>
      </c>
      <c r="BN9" s="27">
        <f t="shared" si="16"/>
        <v>3754.8</v>
      </c>
      <c r="BO9" s="27">
        <f t="shared" si="16"/>
        <v>3754.8</v>
      </c>
      <c r="BP9" s="27">
        <f t="shared" si="14"/>
        <v>45057.6</v>
      </c>
      <c r="BQ9" s="27">
        <f t="shared" si="14"/>
        <v>4005.120000000001</v>
      </c>
      <c r="BR9" s="27">
        <f t="shared" si="14"/>
        <v>4005.120000000001</v>
      </c>
      <c r="BS9" s="27">
        <f t="shared" si="14"/>
        <v>4005.120000000001</v>
      </c>
      <c r="BT9" s="27">
        <f t="shared" si="14"/>
        <v>4005.120000000001</v>
      </c>
      <c r="BU9" s="27">
        <f t="shared" si="14"/>
        <v>4005.120000000001</v>
      </c>
      <c r="BV9" s="27">
        <f t="shared" si="14"/>
        <v>4005.120000000001</v>
      </c>
      <c r="BW9" s="27">
        <f t="shared" si="14"/>
        <v>4005.120000000001</v>
      </c>
      <c r="BX9" s="27">
        <f t="shared" si="14"/>
        <v>4005.120000000001</v>
      </c>
      <c r="BY9" s="27">
        <f t="shared" si="14"/>
        <v>4005.120000000001</v>
      </c>
      <c r="BZ9" s="27">
        <f t="shared" si="14"/>
        <v>4005.120000000001</v>
      </c>
      <c r="CA9" s="27">
        <f t="shared" si="14"/>
        <v>4005.120000000001</v>
      </c>
      <c r="CB9" s="27">
        <f t="shared" si="14"/>
        <v>4005.120000000001</v>
      </c>
      <c r="CC9" s="27">
        <f t="shared" si="14"/>
        <v>48061.44000000001</v>
      </c>
      <c r="CD9" s="27">
        <f aca="true" t="shared" si="17" ref="CD9:CO9">SUM(CD10:CD12)</f>
        <v>4005.120000000001</v>
      </c>
      <c r="CE9" s="27">
        <f t="shared" si="17"/>
        <v>4005.120000000001</v>
      </c>
      <c r="CF9" s="27">
        <f t="shared" si="17"/>
        <v>4005.120000000001</v>
      </c>
      <c r="CG9" s="27">
        <f t="shared" si="17"/>
        <v>4005.120000000001</v>
      </c>
      <c r="CH9" s="27">
        <f t="shared" si="17"/>
        <v>4005.120000000001</v>
      </c>
      <c r="CI9" s="27">
        <f t="shared" si="17"/>
        <v>4005.120000000001</v>
      </c>
      <c r="CJ9" s="27">
        <f t="shared" si="17"/>
        <v>4005.120000000001</v>
      </c>
      <c r="CK9" s="27">
        <f t="shared" si="17"/>
        <v>4005.120000000001</v>
      </c>
      <c r="CL9" s="27">
        <f t="shared" si="17"/>
        <v>4005.120000000001</v>
      </c>
      <c r="CM9" s="27">
        <f t="shared" si="17"/>
        <v>4005.120000000001</v>
      </c>
      <c r="CN9" s="27">
        <f t="shared" si="17"/>
        <v>4005.120000000001</v>
      </c>
      <c r="CO9" s="27">
        <f t="shared" si="17"/>
        <v>4005.120000000001</v>
      </c>
      <c r="CP9" s="27">
        <f t="shared" si="14"/>
        <v>48061.44000000001</v>
      </c>
    </row>
    <row r="10" spans="1:94" ht="12.75">
      <c r="A10" s="28" t="str">
        <f>'2-ф2'!A6</f>
        <v>Крупа пшеничная №2</v>
      </c>
      <c r="B10" s="27">
        <f aca="true" t="shared" si="18" ref="B10:B19">P10+AC10+AP10+BC10+BP10+CC10+CP10</f>
        <v>49397.04</v>
      </c>
      <c r="C10" s="27"/>
      <c r="D10" s="29">
        <f>'2-ф2'!D6*Исх!$C$18</f>
        <v>0</v>
      </c>
      <c r="E10" s="29">
        <f>'2-ф2'!E6*Исх!$C$18</f>
        <v>0</v>
      </c>
      <c r="F10" s="29">
        <f>'2-ф2'!F6*Исх!$C$18</f>
        <v>0</v>
      </c>
      <c r="G10" s="29">
        <f>'2-ф2'!G6*Исх!$C$18</f>
        <v>0</v>
      </c>
      <c r="H10" s="29">
        <f>'2-ф2'!H6*Исх!$C$18</f>
        <v>272.15999999999997</v>
      </c>
      <c r="I10" s="29">
        <f>'2-ф2'!I6*Исх!$C$18</f>
        <v>317.5199999999999</v>
      </c>
      <c r="J10" s="29">
        <f>'2-ф2'!J6*Исх!$C$18</f>
        <v>317.5199999999999</v>
      </c>
      <c r="K10" s="29">
        <f>'2-ф2'!K6*Исх!$C$18</f>
        <v>362.88</v>
      </c>
      <c r="L10" s="29">
        <f>'2-ф2'!L6*Исх!$C$18</f>
        <v>362.88</v>
      </c>
      <c r="M10" s="29">
        <f>'2-ф2'!M6*Исх!$C$18</f>
        <v>408.23999999999995</v>
      </c>
      <c r="N10" s="29">
        <f>'2-ф2'!N6*Исх!$C$18</f>
        <v>408.23999999999995</v>
      </c>
      <c r="O10" s="29">
        <f>'2-ф2'!O6*Исх!$C$18</f>
        <v>408.23999999999995</v>
      </c>
      <c r="P10" s="27">
        <f>SUM(D10:O10)</f>
        <v>2857.68</v>
      </c>
      <c r="Q10" s="29">
        <f>'2-ф2'!Q6*Исх!$C$18</f>
        <v>453.59999999999997</v>
      </c>
      <c r="R10" s="29">
        <f>'2-ф2'!R6*Исх!$C$18</f>
        <v>453.59999999999997</v>
      </c>
      <c r="S10" s="29">
        <f>'2-ф2'!S6*Исх!$C$18</f>
        <v>453.59999999999997</v>
      </c>
      <c r="T10" s="29">
        <f>'2-ф2'!T6*Исх!$C$18</f>
        <v>498.96</v>
      </c>
      <c r="U10" s="29">
        <f>'2-ф2'!U6*Исх!$C$18</f>
        <v>498.96</v>
      </c>
      <c r="V10" s="29">
        <f>'2-ф2'!V6*Исх!$C$18</f>
        <v>498.96</v>
      </c>
      <c r="W10" s="29">
        <f>'2-ф2'!W6*Исх!$C$18</f>
        <v>544.3199999999999</v>
      </c>
      <c r="X10" s="29">
        <f>'2-ф2'!X6*Исх!$C$18</f>
        <v>544.3199999999999</v>
      </c>
      <c r="Y10" s="29">
        <f>'2-ф2'!Y6*Исх!$C$18</f>
        <v>544.3199999999999</v>
      </c>
      <c r="Z10" s="29">
        <f>'2-ф2'!Z6*Исх!$C$18</f>
        <v>589.68</v>
      </c>
      <c r="AA10" s="29">
        <f>'2-ф2'!AA6*Исх!$C$18</f>
        <v>589.68</v>
      </c>
      <c r="AB10" s="29">
        <f>'2-ф2'!AB6*Исх!$C$18</f>
        <v>589.68</v>
      </c>
      <c r="AC10" s="27">
        <f>SUM(Q10:AB10)</f>
        <v>6259.68</v>
      </c>
      <c r="AD10" s="29">
        <f>'2-ф2'!AD6*Исх!$C$18</f>
        <v>589.68</v>
      </c>
      <c r="AE10" s="29">
        <f>'2-ф2'!AE6*Исх!$C$18</f>
        <v>589.68</v>
      </c>
      <c r="AF10" s="29">
        <f>'2-ф2'!AF6*Исх!$C$18</f>
        <v>589.68</v>
      </c>
      <c r="AG10" s="29">
        <f>'2-ф2'!AG6*Исх!$C$18</f>
        <v>589.68</v>
      </c>
      <c r="AH10" s="29">
        <f>'2-ф2'!AH6*Исх!$C$18</f>
        <v>589.68</v>
      </c>
      <c r="AI10" s="29">
        <f>'2-ф2'!AI6*Исх!$C$18</f>
        <v>589.68</v>
      </c>
      <c r="AJ10" s="29">
        <f>'2-ф2'!AJ6*Исх!$C$18</f>
        <v>589.68</v>
      </c>
      <c r="AK10" s="29">
        <f>'2-ф2'!AK6*Исх!$C$18</f>
        <v>589.68</v>
      </c>
      <c r="AL10" s="29">
        <f>'2-ф2'!AL6*Исх!$C$18</f>
        <v>589.68</v>
      </c>
      <c r="AM10" s="29">
        <f>'2-ф2'!AM6*Исх!$C$18</f>
        <v>589.68</v>
      </c>
      <c r="AN10" s="29">
        <f>'2-ф2'!AN6*Исх!$C$18</f>
        <v>589.68</v>
      </c>
      <c r="AO10" s="29">
        <f>'2-ф2'!AO6*Исх!$C$18</f>
        <v>589.68</v>
      </c>
      <c r="AP10" s="29">
        <f>'2-ф2'!AP6*Исх!$C$18</f>
        <v>7076.16</v>
      </c>
      <c r="AQ10" s="29">
        <f>'2-ф2'!AQ6*Исх!$C$18</f>
        <v>635.0399999999998</v>
      </c>
      <c r="AR10" s="29">
        <f>'2-ф2'!AR6*Исх!$C$18</f>
        <v>635.0399999999998</v>
      </c>
      <c r="AS10" s="29">
        <f>'2-ф2'!AS6*Исх!$C$18</f>
        <v>635.0399999999998</v>
      </c>
      <c r="AT10" s="29">
        <f>'2-ф2'!AT6*Исх!$C$18</f>
        <v>635.0399999999998</v>
      </c>
      <c r="AU10" s="29">
        <f>'2-ф2'!AU6*Исх!$C$18</f>
        <v>635.0399999999998</v>
      </c>
      <c r="AV10" s="29">
        <f>'2-ф2'!AV6*Исх!$C$18</f>
        <v>635.0399999999998</v>
      </c>
      <c r="AW10" s="29">
        <f>'2-ф2'!AW6*Исх!$C$18</f>
        <v>635.0399999999998</v>
      </c>
      <c r="AX10" s="29">
        <f>'2-ф2'!AX6*Исх!$C$18</f>
        <v>635.0399999999998</v>
      </c>
      <c r="AY10" s="29">
        <f>'2-ф2'!AY6*Исх!$C$18</f>
        <v>635.0399999999998</v>
      </c>
      <c r="AZ10" s="29">
        <f>'2-ф2'!AZ6*Исх!$C$18</f>
        <v>635.0399999999998</v>
      </c>
      <c r="BA10" s="29">
        <f>'2-ф2'!BA6*Исх!$C$18</f>
        <v>635.0399999999998</v>
      </c>
      <c r="BB10" s="29">
        <f>'2-ф2'!BB6*Исх!$C$18</f>
        <v>635.0399999999998</v>
      </c>
      <c r="BC10" s="29">
        <f>'2-ф2'!BC6*Исх!$C$18</f>
        <v>7620.479999999999</v>
      </c>
      <c r="BD10" s="29">
        <f>'2-ф2'!BD6*Исх!$C$18</f>
        <v>680.4</v>
      </c>
      <c r="BE10" s="29">
        <f>'2-ф2'!BE6*Исх!$C$18</f>
        <v>680.4</v>
      </c>
      <c r="BF10" s="29">
        <f>'2-ф2'!BF6*Исх!$C$18</f>
        <v>680.4</v>
      </c>
      <c r="BG10" s="29">
        <f>'2-ф2'!BG6*Исх!$C$18</f>
        <v>680.4</v>
      </c>
      <c r="BH10" s="29">
        <f>'2-ф2'!BH6*Исх!$C$18</f>
        <v>680.4</v>
      </c>
      <c r="BI10" s="29">
        <f>'2-ф2'!BI6*Исх!$C$18</f>
        <v>680.4</v>
      </c>
      <c r="BJ10" s="29">
        <f>'2-ф2'!BJ6*Исх!$C$18</f>
        <v>680.4</v>
      </c>
      <c r="BK10" s="29">
        <f>'2-ф2'!BK6*Исх!$C$18</f>
        <v>680.4</v>
      </c>
      <c r="BL10" s="29">
        <f>'2-ф2'!BL6*Исх!$C$18</f>
        <v>680.4</v>
      </c>
      <c r="BM10" s="29">
        <f>'2-ф2'!BM6*Исх!$C$18</f>
        <v>680.4</v>
      </c>
      <c r="BN10" s="29">
        <f>'2-ф2'!BN6*Исх!$C$18</f>
        <v>680.4</v>
      </c>
      <c r="BO10" s="29">
        <f>'2-ф2'!BO6*Исх!$C$18</f>
        <v>680.4</v>
      </c>
      <c r="BP10" s="29">
        <f>SUM(BD10:BO10)</f>
        <v>8164.799999999998</v>
      </c>
      <c r="BQ10" s="29">
        <f>'2-ф2'!BQ6*Исх!$C$18</f>
        <v>725.7600000000001</v>
      </c>
      <c r="BR10" s="29">
        <f>'2-ф2'!BR6*Исх!$C$18</f>
        <v>725.7600000000001</v>
      </c>
      <c r="BS10" s="29">
        <f>'2-ф2'!BS6*Исх!$C$18</f>
        <v>725.7600000000001</v>
      </c>
      <c r="BT10" s="29">
        <f>'2-ф2'!BT6*Исх!$C$18</f>
        <v>725.7600000000001</v>
      </c>
      <c r="BU10" s="29">
        <f>'2-ф2'!BU6*Исх!$C$18</f>
        <v>725.7600000000001</v>
      </c>
      <c r="BV10" s="29">
        <f>'2-ф2'!BV6*Исх!$C$18</f>
        <v>725.7600000000001</v>
      </c>
      <c r="BW10" s="29">
        <f>'2-ф2'!BW6*Исх!$C$18</f>
        <v>725.7600000000001</v>
      </c>
      <c r="BX10" s="29">
        <f>'2-ф2'!BX6*Исх!$C$18</f>
        <v>725.7600000000001</v>
      </c>
      <c r="BY10" s="29">
        <f>'2-ф2'!BY6*Исх!$C$18</f>
        <v>725.7600000000001</v>
      </c>
      <c r="BZ10" s="29">
        <f>'2-ф2'!BZ6*Исх!$C$18</f>
        <v>725.7600000000001</v>
      </c>
      <c r="CA10" s="29">
        <f>'2-ф2'!CA6*Исх!$C$18</f>
        <v>725.7600000000001</v>
      </c>
      <c r="CB10" s="29">
        <f>'2-ф2'!CB6*Исх!$C$18</f>
        <v>725.7600000000001</v>
      </c>
      <c r="CC10" s="29">
        <f>SUM(BQ10:CB10)</f>
        <v>8709.12</v>
      </c>
      <c r="CD10" s="29">
        <f>'2-ф2'!CD6*Исх!$C$18</f>
        <v>725.7600000000001</v>
      </c>
      <c r="CE10" s="29">
        <f>'2-ф2'!CE6*Исх!$C$18</f>
        <v>725.7600000000001</v>
      </c>
      <c r="CF10" s="29">
        <f>'2-ф2'!CF6*Исх!$C$18</f>
        <v>725.7600000000001</v>
      </c>
      <c r="CG10" s="29">
        <f>'2-ф2'!CG6*Исх!$C$18</f>
        <v>725.7600000000001</v>
      </c>
      <c r="CH10" s="29">
        <f>'2-ф2'!CH6*Исх!$C$18</f>
        <v>725.7600000000001</v>
      </c>
      <c r="CI10" s="29">
        <f>'2-ф2'!CI6*Исх!$C$18</f>
        <v>725.7600000000001</v>
      </c>
      <c r="CJ10" s="29">
        <f>'2-ф2'!CJ6*Исх!$C$18</f>
        <v>725.7600000000001</v>
      </c>
      <c r="CK10" s="29">
        <f>'2-ф2'!CK6*Исх!$C$18</f>
        <v>725.7600000000001</v>
      </c>
      <c r="CL10" s="29">
        <f>'2-ф2'!CL6*Исх!$C$18</f>
        <v>725.7600000000001</v>
      </c>
      <c r="CM10" s="29">
        <f>'2-ф2'!CM6*Исх!$C$18</f>
        <v>725.7600000000001</v>
      </c>
      <c r="CN10" s="29">
        <f>'2-ф2'!CN6*Исх!$C$18</f>
        <v>725.7600000000001</v>
      </c>
      <c r="CO10" s="29">
        <f>'2-ф2'!CO6*Исх!$C$18</f>
        <v>725.7600000000001</v>
      </c>
      <c r="CP10" s="29">
        <f>SUM(CD10:CO10)</f>
        <v>8709.12</v>
      </c>
    </row>
    <row r="11" spans="1:94" ht="12.75">
      <c r="A11" s="28" t="str">
        <f>'2-ф2'!A7</f>
        <v>Крупа пшеничная №3</v>
      </c>
      <c r="B11" s="27">
        <f t="shared" si="18"/>
        <v>204383.52000000002</v>
      </c>
      <c r="C11" s="27"/>
      <c r="D11" s="29">
        <f>'2-ф2'!D7*Исх!$C$18</f>
        <v>0</v>
      </c>
      <c r="E11" s="29">
        <f>'2-ф2'!E7*Исх!$C$18</f>
        <v>0</v>
      </c>
      <c r="F11" s="29">
        <f>'2-ф2'!F7*Исх!$C$18</f>
        <v>0</v>
      </c>
      <c r="G11" s="29">
        <f>'2-ф2'!G7*Исх!$C$18</f>
        <v>0</v>
      </c>
      <c r="H11" s="29">
        <f>'2-ф2'!H7*Исх!$C$18</f>
        <v>1126.08</v>
      </c>
      <c r="I11" s="29">
        <f>'2-ф2'!I7*Исх!$C$18</f>
        <v>1313.76</v>
      </c>
      <c r="J11" s="29">
        <f>'2-ф2'!J7*Исх!$C$18</f>
        <v>1313.76</v>
      </c>
      <c r="K11" s="29">
        <f>'2-ф2'!K7*Исх!$C$18</f>
        <v>1501.44</v>
      </c>
      <c r="L11" s="29">
        <f>'2-ф2'!L7*Исх!$C$18</f>
        <v>1501.44</v>
      </c>
      <c r="M11" s="29">
        <f>'2-ф2'!M7*Исх!$C$18</f>
        <v>1689.1200000000003</v>
      </c>
      <c r="N11" s="29">
        <f>'2-ф2'!N7*Исх!$C$18</f>
        <v>1689.1200000000003</v>
      </c>
      <c r="O11" s="29">
        <f>'2-ф2'!O7*Исх!$C$18</f>
        <v>1689.1200000000003</v>
      </c>
      <c r="P11" s="27">
        <f>SUM(D11:O11)</f>
        <v>11823.840000000004</v>
      </c>
      <c r="Q11" s="29">
        <f>'2-ф2'!Q7*Исх!$C$18</f>
        <v>1876.8000000000002</v>
      </c>
      <c r="R11" s="29">
        <f>'2-ф2'!R7*Исх!$C$18</f>
        <v>1876.8000000000002</v>
      </c>
      <c r="S11" s="29">
        <f>'2-ф2'!S7*Исх!$C$18</f>
        <v>1876.8000000000002</v>
      </c>
      <c r="T11" s="29">
        <f>'2-ф2'!T7*Исх!$C$18</f>
        <v>2064.48</v>
      </c>
      <c r="U11" s="29">
        <f>'2-ф2'!U7*Исх!$C$18</f>
        <v>2064.48</v>
      </c>
      <c r="V11" s="29">
        <f>'2-ф2'!V7*Исх!$C$18</f>
        <v>2064.48</v>
      </c>
      <c r="W11" s="29">
        <f>'2-ф2'!W7*Исх!$C$18</f>
        <v>2252.16</v>
      </c>
      <c r="X11" s="29">
        <f>'2-ф2'!X7*Исх!$C$18</f>
        <v>2252.16</v>
      </c>
      <c r="Y11" s="29">
        <f>'2-ф2'!Y7*Исх!$C$18</f>
        <v>2252.16</v>
      </c>
      <c r="Z11" s="29">
        <f>'2-ф2'!Z7*Исх!$C$18</f>
        <v>2439.84</v>
      </c>
      <c r="AA11" s="29">
        <f>'2-ф2'!AA7*Исх!$C$18</f>
        <v>2439.84</v>
      </c>
      <c r="AB11" s="29">
        <f>'2-ф2'!AB7*Исх!$C$18</f>
        <v>2439.84</v>
      </c>
      <c r="AC11" s="27">
        <f>SUM(Q11:AB11)</f>
        <v>25899.84</v>
      </c>
      <c r="AD11" s="29">
        <f>'2-ф2'!AD7*Исх!$C$18</f>
        <v>2439.8400000000006</v>
      </c>
      <c r="AE11" s="29">
        <f>'2-ф2'!AE7*Исх!$C$18</f>
        <v>2439.8400000000006</v>
      </c>
      <c r="AF11" s="29">
        <f>'2-ф2'!AF7*Исх!$C$18</f>
        <v>2439.8400000000006</v>
      </c>
      <c r="AG11" s="29">
        <f>'2-ф2'!AG7*Исх!$C$18</f>
        <v>2439.8400000000006</v>
      </c>
      <c r="AH11" s="29">
        <f>'2-ф2'!AH7*Исх!$C$18</f>
        <v>2439.8400000000006</v>
      </c>
      <c r="AI11" s="29">
        <f>'2-ф2'!AI7*Исх!$C$18</f>
        <v>2439.8400000000006</v>
      </c>
      <c r="AJ11" s="29">
        <f>'2-ф2'!AJ7*Исх!$C$18</f>
        <v>2439.8400000000006</v>
      </c>
      <c r="AK11" s="29">
        <f>'2-ф2'!AK7*Исх!$C$18</f>
        <v>2439.8400000000006</v>
      </c>
      <c r="AL11" s="29">
        <f>'2-ф2'!AL7*Исх!$C$18</f>
        <v>2439.8400000000006</v>
      </c>
      <c r="AM11" s="29">
        <f>'2-ф2'!AM7*Исх!$C$18</f>
        <v>2439.8400000000006</v>
      </c>
      <c r="AN11" s="29">
        <f>'2-ф2'!AN7*Исх!$C$18</f>
        <v>2439.8400000000006</v>
      </c>
      <c r="AO11" s="29">
        <f>'2-ф2'!AO7*Исх!$C$18</f>
        <v>2439.8400000000006</v>
      </c>
      <c r="AP11" s="29">
        <f>'2-ф2'!AP7*Исх!$C$18</f>
        <v>29278.080000000005</v>
      </c>
      <c r="AQ11" s="29">
        <f>'2-ф2'!AQ7*Исх!$C$18</f>
        <v>2627.52</v>
      </c>
      <c r="AR11" s="29">
        <f>'2-ф2'!AR7*Исх!$C$18</f>
        <v>2627.52</v>
      </c>
      <c r="AS11" s="29">
        <f>'2-ф2'!AS7*Исх!$C$18</f>
        <v>2627.52</v>
      </c>
      <c r="AT11" s="29">
        <f>'2-ф2'!AT7*Исх!$C$18</f>
        <v>2627.52</v>
      </c>
      <c r="AU11" s="29">
        <f>'2-ф2'!AU7*Исх!$C$18</f>
        <v>2627.52</v>
      </c>
      <c r="AV11" s="29">
        <f>'2-ф2'!AV7*Исх!$C$18</f>
        <v>2627.52</v>
      </c>
      <c r="AW11" s="29">
        <f>'2-ф2'!AW7*Исх!$C$18</f>
        <v>2627.52</v>
      </c>
      <c r="AX11" s="29">
        <f>'2-ф2'!AX7*Исх!$C$18</f>
        <v>2627.52</v>
      </c>
      <c r="AY11" s="29">
        <f>'2-ф2'!AY7*Исх!$C$18</f>
        <v>2627.52</v>
      </c>
      <c r="AZ11" s="29">
        <f>'2-ф2'!AZ7*Исх!$C$18</f>
        <v>2627.52</v>
      </c>
      <c r="BA11" s="29">
        <f>'2-ф2'!BA7*Исх!$C$18</f>
        <v>2627.52</v>
      </c>
      <c r="BB11" s="29">
        <f>'2-ф2'!BB7*Исх!$C$18</f>
        <v>2627.52</v>
      </c>
      <c r="BC11" s="29">
        <f>'2-ф2'!BC7*Исх!$C$18</f>
        <v>31530.24</v>
      </c>
      <c r="BD11" s="29">
        <f>'2-ф2'!BD7*Исх!$C$18</f>
        <v>2815.2000000000003</v>
      </c>
      <c r="BE11" s="29">
        <f>'2-ф2'!BE7*Исх!$C$18</f>
        <v>2815.2000000000003</v>
      </c>
      <c r="BF11" s="29">
        <f>'2-ф2'!BF7*Исх!$C$18</f>
        <v>2815.2000000000003</v>
      </c>
      <c r="BG11" s="29">
        <f>'2-ф2'!BG7*Исх!$C$18</f>
        <v>2815.2000000000003</v>
      </c>
      <c r="BH11" s="29">
        <f>'2-ф2'!BH7*Исх!$C$18</f>
        <v>2815.2000000000003</v>
      </c>
      <c r="BI11" s="29">
        <f>'2-ф2'!BI7*Исх!$C$18</f>
        <v>2815.2000000000003</v>
      </c>
      <c r="BJ11" s="29">
        <f>'2-ф2'!BJ7*Исх!$C$18</f>
        <v>2815.2000000000003</v>
      </c>
      <c r="BK11" s="29">
        <f>'2-ф2'!BK7*Исх!$C$18</f>
        <v>2815.2000000000003</v>
      </c>
      <c r="BL11" s="29">
        <f>'2-ф2'!BL7*Исх!$C$18</f>
        <v>2815.2000000000003</v>
      </c>
      <c r="BM11" s="29">
        <f>'2-ф2'!BM7*Исх!$C$18</f>
        <v>2815.2000000000003</v>
      </c>
      <c r="BN11" s="29">
        <f>'2-ф2'!BN7*Исх!$C$18</f>
        <v>2815.2000000000003</v>
      </c>
      <c r="BO11" s="29">
        <f>'2-ф2'!BO7*Исх!$C$18</f>
        <v>2815.2000000000003</v>
      </c>
      <c r="BP11" s="29">
        <f aca="true" t="shared" si="19" ref="BP11:BP19">SUM(BD11:BO11)</f>
        <v>33782.4</v>
      </c>
      <c r="BQ11" s="29">
        <f>'2-ф2'!BQ7*Исх!$C$18</f>
        <v>3002.8800000000006</v>
      </c>
      <c r="BR11" s="29">
        <f>'2-ф2'!BR7*Исх!$C$18</f>
        <v>3002.8800000000006</v>
      </c>
      <c r="BS11" s="29">
        <f>'2-ф2'!BS7*Исх!$C$18</f>
        <v>3002.8800000000006</v>
      </c>
      <c r="BT11" s="29">
        <f>'2-ф2'!BT7*Исх!$C$18</f>
        <v>3002.8800000000006</v>
      </c>
      <c r="BU11" s="29">
        <f>'2-ф2'!BU7*Исх!$C$18</f>
        <v>3002.8800000000006</v>
      </c>
      <c r="BV11" s="29">
        <f>'2-ф2'!BV7*Исх!$C$18</f>
        <v>3002.8800000000006</v>
      </c>
      <c r="BW11" s="29">
        <f>'2-ф2'!BW7*Исх!$C$18</f>
        <v>3002.8800000000006</v>
      </c>
      <c r="BX11" s="29">
        <f>'2-ф2'!BX7*Исх!$C$18</f>
        <v>3002.8800000000006</v>
      </c>
      <c r="BY11" s="29">
        <f>'2-ф2'!BY7*Исх!$C$18</f>
        <v>3002.8800000000006</v>
      </c>
      <c r="BZ11" s="29">
        <f>'2-ф2'!BZ7*Исх!$C$18</f>
        <v>3002.8800000000006</v>
      </c>
      <c r="CA11" s="29">
        <f>'2-ф2'!CA7*Исх!$C$18</f>
        <v>3002.8800000000006</v>
      </c>
      <c r="CB11" s="29">
        <f>'2-ф2'!CB7*Исх!$C$18</f>
        <v>3002.8800000000006</v>
      </c>
      <c r="CC11" s="29">
        <f aca="true" t="shared" si="20" ref="CC11:CC19">SUM(BQ11:CB11)</f>
        <v>36034.560000000005</v>
      </c>
      <c r="CD11" s="29">
        <f>'2-ф2'!CD7*Исх!$C$18</f>
        <v>3002.8800000000006</v>
      </c>
      <c r="CE11" s="29">
        <f>'2-ф2'!CE7*Исх!$C$18</f>
        <v>3002.8800000000006</v>
      </c>
      <c r="CF11" s="29">
        <f>'2-ф2'!CF7*Исх!$C$18</f>
        <v>3002.8800000000006</v>
      </c>
      <c r="CG11" s="29">
        <f>'2-ф2'!CG7*Исх!$C$18</f>
        <v>3002.8800000000006</v>
      </c>
      <c r="CH11" s="29">
        <f>'2-ф2'!CH7*Исх!$C$18</f>
        <v>3002.8800000000006</v>
      </c>
      <c r="CI11" s="29">
        <f>'2-ф2'!CI7*Исх!$C$18</f>
        <v>3002.8800000000006</v>
      </c>
      <c r="CJ11" s="29">
        <f>'2-ф2'!CJ7*Исх!$C$18</f>
        <v>3002.8800000000006</v>
      </c>
      <c r="CK11" s="29">
        <f>'2-ф2'!CK7*Исх!$C$18</f>
        <v>3002.8800000000006</v>
      </c>
      <c r="CL11" s="29">
        <f>'2-ф2'!CL7*Исх!$C$18</f>
        <v>3002.8800000000006</v>
      </c>
      <c r="CM11" s="29">
        <f>'2-ф2'!CM7*Исх!$C$18</f>
        <v>3002.8800000000006</v>
      </c>
      <c r="CN11" s="29">
        <f>'2-ф2'!CN7*Исх!$C$18</f>
        <v>3002.8800000000006</v>
      </c>
      <c r="CO11" s="29">
        <f>'2-ф2'!CO7*Исх!$C$18</f>
        <v>3002.8800000000006</v>
      </c>
      <c r="CP11" s="29">
        <f>SUM(CD11:CO11)</f>
        <v>36034.560000000005</v>
      </c>
    </row>
    <row r="12" spans="1:94" ht="12.75">
      <c r="A12" s="28" t="str">
        <f>'2-ф2'!A8</f>
        <v>Отруби</v>
      </c>
      <c r="B12" s="27">
        <f t="shared" si="18"/>
        <v>18817.92</v>
      </c>
      <c r="C12" s="27"/>
      <c r="D12" s="29">
        <f>'2-ф2'!D8*Исх!$C$18</f>
        <v>0</v>
      </c>
      <c r="E12" s="29">
        <f>'2-ф2'!E8*Исх!$C$18</f>
        <v>0</v>
      </c>
      <c r="F12" s="29">
        <f>'2-ф2'!F8*Исх!$C$18</f>
        <v>0</v>
      </c>
      <c r="G12" s="29">
        <f>'2-ф2'!G8*Исх!$C$18</f>
        <v>0</v>
      </c>
      <c r="H12" s="29">
        <f>'2-ф2'!H8*Исх!$C$18</f>
        <v>103.67999999999999</v>
      </c>
      <c r="I12" s="29">
        <f>'2-ф2'!I8*Исх!$C$18</f>
        <v>120.95999999999998</v>
      </c>
      <c r="J12" s="29">
        <f>'2-ф2'!J8*Исх!$C$18</f>
        <v>120.95999999999998</v>
      </c>
      <c r="K12" s="29">
        <f>'2-ф2'!K8*Исх!$C$18</f>
        <v>138.23999999999998</v>
      </c>
      <c r="L12" s="29">
        <f>'2-ф2'!L8*Исх!$C$18</f>
        <v>138.23999999999998</v>
      </c>
      <c r="M12" s="29">
        <f>'2-ф2'!M8*Исх!$C$18</f>
        <v>155.51999999999998</v>
      </c>
      <c r="N12" s="29">
        <f>'2-ф2'!N8*Исх!$C$18</f>
        <v>155.51999999999998</v>
      </c>
      <c r="O12" s="29">
        <f>'2-ф2'!O8*Исх!$C$18</f>
        <v>155.51999999999998</v>
      </c>
      <c r="P12" s="27">
        <f>SUM(D12:O12)</f>
        <v>1088.6399999999999</v>
      </c>
      <c r="Q12" s="29">
        <f>'2-ф2'!Q8*Исх!$C$18</f>
        <v>172.79999999999998</v>
      </c>
      <c r="R12" s="29">
        <f>'2-ф2'!R8*Исх!$C$18</f>
        <v>172.79999999999998</v>
      </c>
      <c r="S12" s="29">
        <f>'2-ф2'!S8*Исх!$C$18</f>
        <v>172.79999999999998</v>
      </c>
      <c r="T12" s="29">
        <f>'2-ф2'!T8*Исх!$C$18</f>
        <v>190.07999999999998</v>
      </c>
      <c r="U12" s="29">
        <f>'2-ф2'!U8*Исх!$C$18</f>
        <v>190.07999999999998</v>
      </c>
      <c r="V12" s="29">
        <f>'2-ф2'!V8*Исх!$C$18</f>
        <v>190.07999999999998</v>
      </c>
      <c r="W12" s="29">
        <f>'2-ф2'!W8*Исх!$C$18</f>
        <v>207.35999999999999</v>
      </c>
      <c r="X12" s="29">
        <f>'2-ф2'!X8*Исх!$C$18</f>
        <v>207.35999999999999</v>
      </c>
      <c r="Y12" s="29">
        <f>'2-ф2'!Y8*Исх!$C$18</f>
        <v>207.35999999999999</v>
      </c>
      <c r="Z12" s="29">
        <f>'2-ф2'!Z8*Исх!$C$18</f>
        <v>224.64</v>
      </c>
      <c r="AA12" s="29">
        <f>'2-ф2'!AA8*Исх!$C$18</f>
        <v>224.64</v>
      </c>
      <c r="AB12" s="29">
        <f>'2-ф2'!AB8*Исх!$C$18</f>
        <v>224.64</v>
      </c>
      <c r="AC12" s="27">
        <f>SUM(Q12:AB12)</f>
        <v>2384.6399999999994</v>
      </c>
      <c r="AD12" s="29">
        <f>'2-ф2'!AD8*Исх!$C$18</f>
        <v>224.64</v>
      </c>
      <c r="AE12" s="29">
        <f>'2-ф2'!AE8*Исх!$C$18</f>
        <v>224.64</v>
      </c>
      <c r="AF12" s="29">
        <f>'2-ф2'!AF8*Исх!$C$18</f>
        <v>224.64</v>
      </c>
      <c r="AG12" s="29">
        <f>'2-ф2'!AG8*Исх!$C$18</f>
        <v>224.64</v>
      </c>
      <c r="AH12" s="29">
        <f>'2-ф2'!AH8*Исх!$C$18</f>
        <v>224.64</v>
      </c>
      <c r="AI12" s="29">
        <f>'2-ф2'!AI8*Исх!$C$18</f>
        <v>224.64</v>
      </c>
      <c r="AJ12" s="29">
        <f>'2-ф2'!AJ8*Исх!$C$18</f>
        <v>224.64</v>
      </c>
      <c r="AK12" s="29">
        <f>'2-ф2'!AK8*Исх!$C$18</f>
        <v>224.64</v>
      </c>
      <c r="AL12" s="29">
        <f>'2-ф2'!AL8*Исх!$C$18</f>
        <v>224.64</v>
      </c>
      <c r="AM12" s="29">
        <f>'2-ф2'!AM8*Исх!$C$18</f>
        <v>224.64</v>
      </c>
      <c r="AN12" s="29">
        <f>'2-ф2'!AN8*Исх!$C$18</f>
        <v>224.64</v>
      </c>
      <c r="AO12" s="29">
        <f>'2-ф2'!AO8*Исх!$C$18</f>
        <v>224.64</v>
      </c>
      <c r="AP12" s="29">
        <f>'2-ф2'!AP8*Исх!$C$18</f>
        <v>2695.68</v>
      </c>
      <c r="AQ12" s="29">
        <f>'2-ф2'!AQ8*Исх!$C$18</f>
        <v>241.91999999999996</v>
      </c>
      <c r="AR12" s="29">
        <f>'2-ф2'!AR8*Исх!$C$18</f>
        <v>241.91999999999996</v>
      </c>
      <c r="AS12" s="29">
        <f>'2-ф2'!AS8*Исх!$C$18</f>
        <v>241.91999999999996</v>
      </c>
      <c r="AT12" s="29">
        <f>'2-ф2'!AT8*Исх!$C$18</f>
        <v>241.91999999999996</v>
      </c>
      <c r="AU12" s="29">
        <f>'2-ф2'!AU8*Исх!$C$18</f>
        <v>241.91999999999996</v>
      </c>
      <c r="AV12" s="29">
        <f>'2-ф2'!AV8*Исх!$C$18</f>
        <v>241.91999999999996</v>
      </c>
      <c r="AW12" s="29">
        <f>'2-ф2'!AW8*Исх!$C$18</f>
        <v>241.91999999999996</v>
      </c>
      <c r="AX12" s="29">
        <f>'2-ф2'!AX8*Исх!$C$18</f>
        <v>241.91999999999996</v>
      </c>
      <c r="AY12" s="29">
        <f>'2-ф2'!AY8*Исх!$C$18</f>
        <v>241.91999999999996</v>
      </c>
      <c r="AZ12" s="29">
        <f>'2-ф2'!AZ8*Исх!$C$18</f>
        <v>241.91999999999996</v>
      </c>
      <c r="BA12" s="29">
        <f>'2-ф2'!BA8*Исх!$C$18</f>
        <v>241.91999999999996</v>
      </c>
      <c r="BB12" s="29">
        <f>'2-ф2'!BB8*Исх!$C$18</f>
        <v>241.91999999999996</v>
      </c>
      <c r="BC12" s="29">
        <f>'2-ф2'!BC8*Исх!$C$18</f>
        <v>2903.0399999999995</v>
      </c>
      <c r="BD12" s="29">
        <f>'2-ф2'!BD8*Исх!$C$18</f>
        <v>259.2</v>
      </c>
      <c r="BE12" s="29">
        <f>'2-ф2'!BE8*Исх!$C$18</f>
        <v>259.2</v>
      </c>
      <c r="BF12" s="29">
        <f>'2-ф2'!BF8*Исх!$C$18</f>
        <v>259.2</v>
      </c>
      <c r="BG12" s="29">
        <f>'2-ф2'!BG8*Исх!$C$18</f>
        <v>259.2</v>
      </c>
      <c r="BH12" s="29">
        <f>'2-ф2'!BH8*Исх!$C$18</f>
        <v>259.2</v>
      </c>
      <c r="BI12" s="29">
        <f>'2-ф2'!BI8*Исх!$C$18</f>
        <v>259.2</v>
      </c>
      <c r="BJ12" s="29">
        <f>'2-ф2'!BJ8*Исх!$C$18</f>
        <v>259.2</v>
      </c>
      <c r="BK12" s="29">
        <f>'2-ф2'!BK8*Исх!$C$18</f>
        <v>259.2</v>
      </c>
      <c r="BL12" s="29">
        <f>'2-ф2'!BL8*Исх!$C$18</f>
        <v>259.2</v>
      </c>
      <c r="BM12" s="29">
        <f>'2-ф2'!BM8*Исх!$C$18</f>
        <v>259.2</v>
      </c>
      <c r="BN12" s="29">
        <f>'2-ф2'!BN8*Исх!$C$18</f>
        <v>259.2</v>
      </c>
      <c r="BO12" s="29">
        <f>'2-ф2'!BO8*Исх!$C$18</f>
        <v>259.2</v>
      </c>
      <c r="BP12" s="29">
        <f t="shared" si="19"/>
        <v>3110.399999999999</v>
      </c>
      <c r="BQ12" s="29">
        <f>'2-ф2'!BQ8*Исх!$C$18</f>
        <v>276.47999999999996</v>
      </c>
      <c r="BR12" s="29">
        <f>'2-ф2'!BR8*Исх!$C$18</f>
        <v>276.47999999999996</v>
      </c>
      <c r="BS12" s="29">
        <f>'2-ф2'!BS8*Исх!$C$18</f>
        <v>276.47999999999996</v>
      </c>
      <c r="BT12" s="29">
        <f>'2-ф2'!BT8*Исх!$C$18</f>
        <v>276.47999999999996</v>
      </c>
      <c r="BU12" s="29">
        <f>'2-ф2'!BU8*Исх!$C$18</f>
        <v>276.47999999999996</v>
      </c>
      <c r="BV12" s="29">
        <f>'2-ф2'!BV8*Исх!$C$18</f>
        <v>276.47999999999996</v>
      </c>
      <c r="BW12" s="29">
        <f>'2-ф2'!BW8*Исх!$C$18</f>
        <v>276.47999999999996</v>
      </c>
      <c r="BX12" s="29">
        <f>'2-ф2'!BX8*Исх!$C$18</f>
        <v>276.47999999999996</v>
      </c>
      <c r="BY12" s="29">
        <f>'2-ф2'!BY8*Исх!$C$18</f>
        <v>276.47999999999996</v>
      </c>
      <c r="BZ12" s="29">
        <f>'2-ф2'!BZ8*Исх!$C$18</f>
        <v>276.47999999999996</v>
      </c>
      <c r="CA12" s="29">
        <f>'2-ф2'!CA8*Исх!$C$18</f>
        <v>276.47999999999996</v>
      </c>
      <c r="CB12" s="29">
        <f>'2-ф2'!CB8*Исх!$C$18</f>
        <v>276.47999999999996</v>
      </c>
      <c r="CC12" s="29">
        <f t="shared" si="20"/>
        <v>3317.7599999999998</v>
      </c>
      <c r="CD12" s="29">
        <f>'2-ф2'!CD8*Исх!$C$18</f>
        <v>276.47999999999996</v>
      </c>
      <c r="CE12" s="29">
        <f>'2-ф2'!CE8*Исх!$C$18</f>
        <v>276.47999999999996</v>
      </c>
      <c r="CF12" s="29">
        <f>'2-ф2'!CF8*Исх!$C$18</f>
        <v>276.47999999999996</v>
      </c>
      <c r="CG12" s="29">
        <f>'2-ф2'!CG8*Исх!$C$18</f>
        <v>276.47999999999996</v>
      </c>
      <c r="CH12" s="29">
        <f>'2-ф2'!CH8*Исх!$C$18</f>
        <v>276.47999999999996</v>
      </c>
      <c r="CI12" s="29">
        <f>'2-ф2'!CI8*Исх!$C$18</f>
        <v>276.47999999999996</v>
      </c>
      <c r="CJ12" s="29">
        <f>'2-ф2'!CJ8*Исх!$C$18</f>
        <v>276.47999999999996</v>
      </c>
      <c r="CK12" s="29">
        <f>'2-ф2'!CK8*Исх!$C$18</f>
        <v>276.47999999999996</v>
      </c>
      <c r="CL12" s="29">
        <f>'2-ф2'!CL8*Исх!$C$18</f>
        <v>276.47999999999996</v>
      </c>
      <c r="CM12" s="29">
        <f>'2-ф2'!CM8*Исх!$C$18</f>
        <v>276.47999999999996</v>
      </c>
      <c r="CN12" s="29">
        <f>'2-ф2'!CN8*Исх!$C$18</f>
        <v>276.47999999999996</v>
      </c>
      <c r="CO12" s="29">
        <f>'2-ф2'!CO8*Исх!$C$18</f>
        <v>276.47999999999996</v>
      </c>
      <c r="CP12" s="29">
        <f>SUM(CD12:CO12)</f>
        <v>3317.7599999999998</v>
      </c>
    </row>
    <row r="13" spans="1:94" s="21" customFormat="1" ht="12.75">
      <c r="A13" s="30" t="s">
        <v>5</v>
      </c>
      <c r="B13" s="27">
        <f t="shared" si="18"/>
        <v>232121.28154999996</v>
      </c>
      <c r="C13" s="27"/>
      <c r="D13" s="31">
        <f aca="true" t="shared" si="21" ref="D13:CP13">SUM(D14:D19)</f>
        <v>0</v>
      </c>
      <c r="E13" s="31">
        <f t="shared" si="21"/>
        <v>0</v>
      </c>
      <c r="F13" s="31">
        <f t="shared" si="21"/>
        <v>0</v>
      </c>
      <c r="G13" s="31">
        <f t="shared" si="21"/>
        <v>2038.7997</v>
      </c>
      <c r="H13" s="31">
        <f t="shared" si="21"/>
        <v>1669.8573000000001</v>
      </c>
      <c r="I13" s="31">
        <f t="shared" si="21"/>
        <v>1815.3669</v>
      </c>
      <c r="J13" s="31">
        <f t="shared" si="21"/>
        <v>1941.3614499999999</v>
      </c>
      <c r="K13" s="31">
        <f t="shared" si="21"/>
        <v>2085.0450420289853</v>
      </c>
      <c r="L13" s="31">
        <f t="shared" si="21"/>
        <v>2083.219034057971</v>
      </c>
      <c r="M13" s="31">
        <f t="shared" si="21"/>
        <v>2226.902626086957</v>
      </c>
      <c r="N13" s="31">
        <f t="shared" si="21"/>
        <v>2225.076618115942</v>
      </c>
      <c r="O13" s="31">
        <f t="shared" si="21"/>
        <v>2223.2506101449276</v>
      </c>
      <c r="P13" s="31">
        <f t="shared" si="21"/>
        <v>18308.879280434783</v>
      </c>
      <c r="Q13" s="31">
        <f t="shared" si="21"/>
        <v>2396.837152173913</v>
      </c>
      <c r="R13" s="31">
        <f t="shared" si="21"/>
        <v>2395.011144202899</v>
      </c>
      <c r="S13" s="31">
        <f t="shared" si="21"/>
        <v>2393.1851362318844</v>
      </c>
      <c r="T13" s="31">
        <f t="shared" si="21"/>
        <v>2536.8687282608694</v>
      </c>
      <c r="U13" s="31">
        <f t="shared" si="21"/>
        <v>2535.042720289855</v>
      </c>
      <c r="V13" s="31">
        <f t="shared" si="21"/>
        <v>2533.2167123188406</v>
      </c>
      <c r="W13" s="31">
        <f t="shared" si="21"/>
        <v>2676.9003043478265</v>
      </c>
      <c r="X13" s="31">
        <f t="shared" si="21"/>
        <v>2675.074296376812</v>
      </c>
      <c r="Y13" s="31">
        <f t="shared" si="21"/>
        <v>2673.248288405797</v>
      </c>
      <c r="Z13" s="31">
        <f t="shared" si="21"/>
        <v>2816.9318804347827</v>
      </c>
      <c r="AA13" s="31">
        <f t="shared" si="21"/>
        <v>2815.1058724637683</v>
      </c>
      <c r="AB13" s="31">
        <f t="shared" si="21"/>
        <v>2813.279864492754</v>
      </c>
      <c r="AC13" s="31">
        <f t="shared" si="21"/>
        <v>31260.702099999995</v>
      </c>
      <c r="AD13" s="31">
        <f aca="true" t="shared" si="22" ref="AD13:AO13">SUM(AD14:AD19)</f>
        <v>2821.421506521739</v>
      </c>
      <c r="AE13" s="31">
        <f t="shared" si="22"/>
        <v>2819.595498550724</v>
      </c>
      <c r="AF13" s="31">
        <f t="shared" si="22"/>
        <v>2817.76949057971</v>
      </c>
      <c r="AG13" s="31">
        <f t="shared" si="22"/>
        <v>2815.9434826086954</v>
      </c>
      <c r="AH13" s="31">
        <f t="shared" si="22"/>
        <v>2814.117474637681</v>
      </c>
      <c r="AI13" s="31">
        <f t="shared" si="22"/>
        <v>2812.2914666666666</v>
      </c>
      <c r="AJ13" s="31">
        <f t="shared" si="22"/>
        <v>2810.4654586956517</v>
      </c>
      <c r="AK13" s="31">
        <f t="shared" si="22"/>
        <v>2808.6394507246373</v>
      </c>
      <c r="AL13" s="31">
        <f t="shared" si="22"/>
        <v>2806.813442753623</v>
      </c>
      <c r="AM13" s="31">
        <f t="shared" si="22"/>
        <v>2804.9874347826085</v>
      </c>
      <c r="AN13" s="31">
        <f t="shared" si="22"/>
        <v>2803.161426811594</v>
      </c>
      <c r="AO13" s="31">
        <f t="shared" si="22"/>
        <v>2801.335418840579</v>
      </c>
      <c r="AP13" s="31">
        <f t="shared" si="21"/>
        <v>33736.54155217391</v>
      </c>
      <c r="AQ13" s="31">
        <f t="shared" si="21"/>
        <v>2951.664110869565</v>
      </c>
      <c r="AR13" s="31">
        <f t="shared" si="21"/>
        <v>2949.8381028985505</v>
      </c>
      <c r="AS13" s="31">
        <f t="shared" si="21"/>
        <v>2948.012094927536</v>
      </c>
      <c r="AT13" s="31">
        <f t="shared" si="21"/>
        <v>2946.1860869565216</v>
      </c>
      <c r="AU13" s="31">
        <f t="shared" si="21"/>
        <v>2944.360078985507</v>
      </c>
      <c r="AV13" s="31">
        <f t="shared" si="21"/>
        <v>2942.5340710144924</v>
      </c>
      <c r="AW13" s="31">
        <f t="shared" si="21"/>
        <v>2940.708063043478</v>
      </c>
      <c r="AX13" s="31">
        <f t="shared" si="21"/>
        <v>2938.8820550724636</v>
      </c>
      <c r="AY13" s="31">
        <f t="shared" si="21"/>
        <v>2937.056047101449</v>
      </c>
      <c r="AZ13" s="31">
        <f t="shared" si="21"/>
        <v>2935.2300391304343</v>
      </c>
      <c r="BA13" s="31">
        <f t="shared" si="21"/>
        <v>2933.40403115942</v>
      </c>
      <c r="BB13" s="31">
        <f t="shared" si="21"/>
        <v>2931.5780231884055</v>
      </c>
      <c r="BC13" s="31">
        <f aca="true" t="shared" si="23" ref="BC13:BO13">SUM(BC14:BC19)</f>
        <v>35299.45280434782</v>
      </c>
      <c r="BD13" s="31">
        <f t="shared" si="23"/>
        <v>3081.906715217391</v>
      </c>
      <c r="BE13" s="31">
        <f t="shared" si="23"/>
        <v>3080.0807072463767</v>
      </c>
      <c r="BF13" s="31">
        <f t="shared" si="23"/>
        <v>3078.2546992753623</v>
      </c>
      <c r="BG13" s="31">
        <f t="shared" si="23"/>
        <v>3076.428691304348</v>
      </c>
      <c r="BH13" s="31">
        <f t="shared" si="23"/>
        <v>3074.6026833333335</v>
      </c>
      <c r="BI13" s="31">
        <f t="shared" si="23"/>
        <v>3072.776675362319</v>
      </c>
      <c r="BJ13" s="31">
        <f t="shared" si="23"/>
        <v>3070.9506673913047</v>
      </c>
      <c r="BK13" s="31">
        <f t="shared" si="23"/>
        <v>3069.1246594202894</v>
      </c>
      <c r="BL13" s="31">
        <f t="shared" si="23"/>
        <v>3067.298651449275</v>
      </c>
      <c r="BM13" s="31">
        <f t="shared" si="23"/>
        <v>3065.4726434782606</v>
      </c>
      <c r="BN13" s="31">
        <f t="shared" si="23"/>
        <v>3063.646635507246</v>
      </c>
      <c r="BO13" s="31">
        <f t="shared" si="23"/>
        <v>3061.8206275362318</v>
      </c>
      <c r="BP13" s="31">
        <f t="shared" si="21"/>
        <v>36862.364056521736</v>
      </c>
      <c r="BQ13" s="31">
        <f t="shared" si="21"/>
        <v>3212.1493195652174</v>
      </c>
      <c r="BR13" s="31">
        <f t="shared" si="21"/>
        <v>3210.3233115942026</v>
      </c>
      <c r="BS13" s="31">
        <f t="shared" si="21"/>
        <v>3208.497303623188</v>
      </c>
      <c r="BT13" s="31">
        <f t="shared" si="21"/>
        <v>3206.6712956521737</v>
      </c>
      <c r="BU13" s="31">
        <f t="shared" si="21"/>
        <v>3204.8452876811593</v>
      </c>
      <c r="BV13" s="31">
        <f t="shared" si="21"/>
        <v>3203.019279710145</v>
      </c>
      <c r="BW13" s="31">
        <f t="shared" si="21"/>
        <v>3201.19327173913</v>
      </c>
      <c r="BX13" s="31">
        <f t="shared" si="21"/>
        <v>3199.3672637681157</v>
      </c>
      <c r="BY13" s="31">
        <f t="shared" si="21"/>
        <v>3197.5412557971013</v>
      </c>
      <c r="BZ13" s="31">
        <f t="shared" si="21"/>
        <v>3195.715247826087</v>
      </c>
      <c r="CA13" s="31">
        <f t="shared" si="21"/>
        <v>3193.8892398550724</v>
      </c>
      <c r="CB13" s="31">
        <f t="shared" si="21"/>
        <v>3192.0632318840576</v>
      </c>
      <c r="CC13" s="31">
        <f t="shared" si="21"/>
        <v>38425.27530869566</v>
      </c>
      <c r="CD13" s="31">
        <f aca="true" t="shared" si="24" ref="CD13:CO13">SUM(CD14:CD19)</f>
        <v>3190.237223913043</v>
      </c>
      <c r="CE13" s="31">
        <f t="shared" si="24"/>
        <v>3188.411215942029</v>
      </c>
      <c r="CF13" s="31">
        <f t="shared" si="24"/>
        <v>3186.5852079710144</v>
      </c>
      <c r="CG13" s="31">
        <f t="shared" si="24"/>
        <v>3184.7592</v>
      </c>
      <c r="CH13" s="31">
        <f t="shared" si="24"/>
        <v>3184.7592</v>
      </c>
      <c r="CI13" s="31">
        <f t="shared" si="24"/>
        <v>3184.7592</v>
      </c>
      <c r="CJ13" s="31">
        <f t="shared" si="24"/>
        <v>3184.7592</v>
      </c>
      <c r="CK13" s="31">
        <f t="shared" si="24"/>
        <v>3184.7592</v>
      </c>
      <c r="CL13" s="31">
        <f t="shared" si="24"/>
        <v>3184.7592</v>
      </c>
      <c r="CM13" s="31">
        <f t="shared" si="24"/>
        <v>3184.7592</v>
      </c>
      <c r="CN13" s="31">
        <f t="shared" si="24"/>
        <v>3184.7592</v>
      </c>
      <c r="CO13" s="31">
        <f t="shared" si="24"/>
        <v>3184.7592</v>
      </c>
      <c r="CP13" s="31">
        <f t="shared" si="21"/>
        <v>38228.06644782609</v>
      </c>
    </row>
    <row r="14" spans="1:94" ht="12.75">
      <c r="A14" s="28" t="s">
        <v>214</v>
      </c>
      <c r="B14" s="27">
        <f t="shared" si="18"/>
        <v>151524</v>
      </c>
      <c r="C14" s="32"/>
      <c r="D14" s="29">
        <f>'2-ф2'!D10*Исх!$C$18</f>
        <v>0</v>
      </c>
      <c r="E14" s="29">
        <f>'2-ф2'!E10*Исх!$C$18</f>
        <v>0</v>
      </c>
      <c r="F14" s="29">
        <f>'2-ф2'!F10*Исх!$C$18</f>
        <v>0</v>
      </c>
      <c r="G14" s="29">
        <f>O14*1</f>
        <v>1242</v>
      </c>
      <c r="H14" s="29">
        <f>'2-ф2'!H10*Исх!$C$18</f>
        <v>828</v>
      </c>
      <c r="I14" s="29">
        <f>'2-ф2'!I10*Исх!$C$18</f>
        <v>966</v>
      </c>
      <c r="J14" s="29">
        <f>'2-ф2'!J10*Исх!$C$18</f>
        <v>966</v>
      </c>
      <c r="K14" s="29">
        <f>'2-ф2'!K10*Исх!$C$18</f>
        <v>1104</v>
      </c>
      <c r="L14" s="29">
        <f>'2-ф2'!L10*Исх!$C$18</f>
        <v>1104</v>
      </c>
      <c r="M14" s="29">
        <f>'2-ф2'!M10*Исх!$C$18</f>
        <v>1242</v>
      </c>
      <c r="N14" s="29">
        <f>'2-ф2'!N10*Исх!$C$18</f>
        <v>1242</v>
      </c>
      <c r="O14" s="29">
        <f>'2-ф2'!O10*Исх!$C$18</f>
        <v>1242</v>
      </c>
      <c r="P14" s="27">
        <f aca="true" t="shared" si="25" ref="P14:P19">SUM(D14:O14)</f>
        <v>9936</v>
      </c>
      <c r="Q14" s="29">
        <f>'2-ф2'!Q10*Исх!$C$18</f>
        <v>1380</v>
      </c>
      <c r="R14" s="29">
        <f>'2-ф2'!R10*Исх!$C$18</f>
        <v>1380</v>
      </c>
      <c r="S14" s="29">
        <f>'2-ф2'!S10*Исх!$C$18</f>
        <v>1380</v>
      </c>
      <c r="T14" s="29">
        <f>'2-ф2'!T10*Исх!$C$18</f>
        <v>1518</v>
      </c>
      <c r="U14" s="29">
        <f>'2-ф2'!U10*Исх!$C$18</f>
        <v>1518</v>
      </c>
      <c r="V14" s="29">
        <f>'2-ф2'!V10*Исх!$C$18</f>
        <v>1518</v>
      </c>
      <c r="W14" s="29">
        <f>'2-ф2'!W10*Исх!$C$18</f>
        <v>1656</v>
      </c>
      <c r="X14" s="29">
        <f>'2-ф2'!X10*Исх!$C$18</f>
        <v>1656</v>
      </c>
      <c r="Y14" s="29">
        <f>'2-ф2'!Y10*Исх!$C$18</f>
        <v>1656</v>
      </c>
      <c r="Z14" s="29">
        <f>'2-ф2'!Z10*Исх!$C$18</f>
        <v>1794</v>
      </c>
      <c r="AA14" s="29">
        <f>'2-ф2'!AA10*Исх!$C$18</f>
        <v>1794</v>
      </c>
      <c r="AB14" s="29">
        <f>'2-ф2'!AB10*Исх!$C$18</f>
        <v>1794</v>
      </c>
      <c r="AC14" s="27">
        <f aca="true" t="shared" si="26" ref="AC14:AC19">SUM(Q14:AB14)</f>
        <v>19044</v>
      </c>
      <c r="AD14" s="29">
        <f>'2-ф2'!AD10*Исх!$C$18</f>
        <v>1794</v>
      </c>
      <c r="AE14" s="29">
        <f>'2-ф2'!AE10*Исх!$C$18</f>
        <v>1794</v>
      </c>
      <c r="AF14" s="29">
        <f>'2-ф2'!AF10*Исх!$C$18</f>
        <v>1794</v>
      </c>
      <c r="AG14" s="29">
        <f>'2-ф2'!AG10*Исх!$C$18</f>
        <v>1794</v>
      </c>
      <c r="AH14" s="29">
        <f>'2-ф2'!AH10*Исх!$C$18</f>
        <v>1794</v>
      </c>
      <c r="AI14" s="29">
        <f>'2-ф2'!AI10*Исх!$C$18</f>
        <v>1794</v>
      </c>
      <c r="AJ14" s="29">
        <f>'2-ф2'!AJ10*Исх!$C$18</f>
        <v>1794</v>
      </c>
      <c r="AK14" s="29">
        <f>'2-ф2'!AK10*Исх!$C$18</f>
        <v>1794</v>
      </c>
      <c r="AL14" s="29">
        <f>'2-ф2'!AL10*Исх!$C$18</f>
        <v>1794</v>
      </c>
      <c r="AM14" s="29">
        <f>'2-ф2'!AM10*Исх!$C$18</f>
        <v>1794</v>
      </c>
      <c r="AN14" s="29">
        <f>'2-ф2'!AN10*Исх!$C$18</f>
        <v>1794</v>
      </c>
      <c r="AO14" s="29">
        <f>'2-ф2'!AO10*Исх!$C$18</f>
        <v>1794</v>
      </c>
      <c r="AP14" s="29">
        <f>'2-ф2'!AP10*Исх!$C$18</f>
        <v>21528</v>
      </c>
      <c r="AQ14" s="29">
        <f>'2-ф2'!AQ10*Исх!$C$18</f>
        <v>1932</v>
      </c>
      <c r="AR14" s="29">
        <f>'2-ф2'!AR10*Исх!$C$18</f>
        <v>1932</v>
      </c>
      <c r="AS14" s="29">
        <f>'2-ф2'!AS10*Исх!$C$18</f>
        <v>1932</v>
      </c>
      <c r="AT14" s="29">
        <f>'2-ф2'!AT10*Исх!$C$18</f>
        <v>1932</v>
      </c>
      <c r="AU14" s="29">
        <f>'2-ф2'!AU10*Исх!$C$18</f>
        <v>1932</v>
      </c>
      <c r="AV14" s="29">
        <f>'2-ф2'!AV10*Исх!$C$18</f>
        <v>1932</v>
      </c>
      <c r="AW14" s="29">
        <f>'2-ф2'!AW10*Исх!$C$18</f>
        <v>1932</v>
      </c>
      <c r="AX14" s="29">
        <f>'2-ф2'!AX10*Исх!$C$18</f>
        <v>1932</v>
      </c>
      <c r="AY14" s="29">
        <f>'2-ф2'!AY10*Исх!$C$18</f>
        <v>1932</v>
      </c>
      <c r="AZ14" s="29">
        <f>'2-ф2'!AZ10*Исх!$C$18</f>
        <v>1932</v>
      </c>
      <c r="BA14" s="29">
        <f>'2-ф2'!BA10*Исх!$C$18</f>
        <v>1932</v>
      </c>
      <c r="BB14" s="29">
        <f>'2-ф2'!BB10*Исх!$C$18</f>
        <v>1932</v>
      </c>
      <c r="BC14" s="29">
        <f>'2-ф2'!BC10*Исх!$C$18</f>
        <v>23184</v>
      </c>
      <c r="BD14" s="29">
        <f>'2-ф2'!BD10*Исх!$C$18</f>
        <v>2070</v>
      </c>
      <c r="BE14" s="29">
        <f>'2-ф2'!BE10*Исх!$C$18</f>
        <v>2070</v>
      </c>
      <c r="BF14" s="29">
        <f>'2-ф2'!BF10*Исх!$C$18</f>
        <v>2070</v>
      </c>
      <c r="BG14" s="29">
        <f>'2-ф2'!BG10*Исх!$C$18</f>
        <v>2070</v>
      </c>
      <c r="BH14" s="29">
        <f>'2-ф2'!BH10*Исх!$C$18</f>
        <v>2070</v>
      </c>
      <c r="BI14" s="29">
        <f>'2-ф2'!BI10*Исх!$C$18</f>
        <v>2070</v>
      </c>
      <c r="BJ14" s="29">
        <f>'2-ф2'!BJ10*Исх!$C$18</f>
        <v>2070</v>
      </c>
      <c r="BK14" s="29">
        <f>'2-ф2'!BK10*Исх!$C$18</f>
        <v>2070</v>
      </c>
      <c r="BL14" s="29">
        <f>'2-ф2'!BL10*Исх!$C$18</f>
        <v>2070</v>
      </c>
      <c r="BM14" s="29">
        <f>'2-ф2'!BM10*Исх!$C$18</f>
        <v>2070</v>
      </c>
      <c r="BN14" s="29">
        <f>'2-ф2'!BN10*Исх!$C$18</f>
        <v>2070</v>
      </c>
      <c r="BO14" s="29">
        <f>'2-ф2'!BO10*Исх!$C$18</f>
        <v>2070</v>
      </c>
      <c r="BP14" s="29">
        <f t="shared" si="19"/>
        <v>24840</v>
      </c>
      <c r="BQ14" s="29">
        <f>'2-ф2'!BQ10*Исх!$C$18</f>
        <v>2208</v>
      </c>
      <c r="BR14" s="29">
        <f>'2-ф2'!BR10*Исх!$C$18</f>
        <v>2208</v>
      </c>
      <c r="BS14" s="29">
        <f>'2-ф2'!BS10*Исх!$C$18</f>
        <v>2208</v>
      </c>
      <c r="BT14" s="29">
        <f>'2-ф2'!BT10*Исх!$C$18</f>
        <v>2208</v>
      </c>
      <c r="BU14" s="29">
        <f>'2-ф2'!BU10*Исх!$C$18</f>
        <v>2208</v>
      </c>
      <c r="BV14" s="29">
        <f>'2-ф2'!BV10*Исх!$C$18</f>
        <v>2208</v>
      </c>
      <c r="BW14" s="29">
        <f>'2-ф2'!BW10*Исх!$C$18</f>
        <v>2208</v>
      </c>
      <c r="BX14" s="29">
        <f>'2-ф2'!BX10*Исх!$C$18</f>
        <v>2208</v>
      </c>
      <c r="BY14" s="29">
        <f>'2-ф2'!BY10*Исх!$C$18</f>
        <v>2208</v>
      </c>
      <c r="BZ14" s="29">
        <f>'2-ф2'!BZ10*Исх!$C$18</f>
        <v>2208</v>
      </c>
      <c r="CA14" s="29">
        <f>'2-ф2'!CA10*Исх!$C$18</f>
        <v>2208</v>
      </c>
      <c r="CB14" s="29">
        <f>'2-ф2'!CB10*Исх!$C$18</f>
        <v>2208</v>
      </c>
      <c r="CC14" s="29">
        <f t="shared" si="20"/>
        <v>26496</v>
      </c>
      <c r="CD14" s="29">
        <f>'2-ф2'!CD10*Исх!$C$18</f>
        <v>2208</v>
      </c>
      <c r="CE14" s="29">
        <f>'2-ф2'!CE10*Исх!$C$18</f>
        <v>2208</v>
      </c>
      <c r="CF14" s="29">
        <f>'2-ф2'!CF10*Исх!$C$18</f>
        <v>2208</v>
      </c>
      <c r="CG14" s="29">
        <f>'2-ф2'!CG10*Исх!$C$18</f>
        <v>2208</v>
      </c>
      <c r="CH14" s="29">
        <f>'2-ф2'!CH10*Исх!$C$18</f>
        <v>2208</v>
      </c>
      <c r="CI14" s="29">
        <f>'2-ф2'!CI10*Исх!$C$18</f>
        <v>2208</v>
      </c>
      <c r="CJ14" s="29">
        <f>'2-ф2'!CJ10*Исх!$C$18</f>
        <v>2208</v>
      </c>
      <c r="CK14" s="29">
        <f>'2-ф2'!CK10*Исх!$C$18</f>
        <v>2208</v>
      </c>
      <c r="CL14" s="29">
        <f>'2-ф2'!CL10*Исх!$C$18</f>
        <v>2208</v>
      </c>
      <c r="CM14" s="29">
        <f>'2-ф2'!CM10*Исх!$C$18</f>
        <v>2208</v>
      </c>
      <c r="CN14" s="29">
        <f>'2-ф2'!CN10*Исх!$C$18</f>
        <v>2208</v>
      </c>
      <c r="CO14" s="29">
        <f>'2-ф2'!CO10*Исх!$C$18</f>
        <v>2208</v>
      </c>
      <c r="CP14" s="29">
        <f aca="true" t="shared" si="27" ref="CP14:CP19">SUM(CD14:CO14)</f>
        <v>26496</v>
      </c>
    </row>
    <row r="15" spans="1:94" ht="12.75" hidden="1">
      <c r="A15" s="28"/>
      <c r="B15" s="27">
        <f t="shared" si="18"/>
        <v>0</v>
      </c>
      <c r="C15" s="32"/>
      <c r="D15" s="29">
        <f>'2-ф2'!D11*Исх!$C$18</f>
        <v>0</v>
      </c>
      <c r="E15" s="29">
        <f>'2-ф2'!E11*Исх!$C$18</f>
        <v>0</v>
      </c>
      <c r="F15" s="29">
        <f>'2-ф2'!F11*Исх!$C$18</f>
        <v>0</v>
      </c>
      <c r="G15" s="29">
        <f>'2-ф2'!G11*Исх!$C$18</f>
        <v>0</v>
      </c>
      <c r="H15" s="29">
        <f>'2-ф2'!H11*Исх!$C$18</f>
        <v>0</v>
      </c>
      <c r="I15" s="29">
        <f>'2-ф2'!I11*Исх!$C$18+O15*3</f>
        <v>0</v>
      </c>
      <c r="J15" s="29">
        <f>'2-ф2'!J11*Исх!$C$18</f>
        <v>0</v>
      </c>
      <c r="K15" s="29">
        <f>'2-ф2'!K11*Исх!$C$18</f>
        <v>0</v>
      </c>
      <c r="L15" s="29">
        <f>'2-ф2'!L11*Исх!$C$18</f>
        <v>0</v>
      </c>
      <c r="M15" s="29">
        <f>'2-ф2'!M11*Исх!$C$18</f>
        <v>0</v>
      </c>
      <c r="N15" s="29">
        <f>'2-ф2'!N11*Исх!$C$18</f>
        <v>0</v>
      </c>
      <c r="O15" s="29">
        <f>'2-ф2'!O11*Исх!$C$18</f>
        <v>0</v>
      </c>
      <c r="P15" s="27">
        <f t="shared" si="25"/>
        <v>0</v>
      </c>
      <c r="Q15" s="29">
        <f>'2-ф2'!Q11*Исх!$C$18</f>
        <v>0</v>
      </c>
      <c r="R15" s="29">
        <f>'2-ф2'!R11*Исх!$C$18</f>
        <v>0</v>
      </c>
      <c r="S15" s="29">
        <f>'2-ф2'!S11*Исх!$C$18</f>
        <v>0</v>
      </c>
      <c r="T15" s="29">
        <f>'2-ф2'!T11*Исх!$C$18</f>
        <v>0</v>
      </c>
      <c r="U15" s="29">
        <f>'2-ф2'!U11*Исх!$C$18</f>
        <v>0</v>
      </c>
      <c r="V15" s="29">
        <f>'2-ф2'!V11*Исх!$C$18</f>
        <v>0</v>
      </c>
      <c r="W15" s="29">
        <f>'2-ф2'!W11*Исх!$C$18</f>
        <v>0</v>
      </c>
      <c r="X15" s="29">
        <f>'2-ф2'!X11*Исх!$C$18</f>
        <v>0</v>
      </c>
      <c r="Y15" s="29">
        <f>'2-ф2'!Y11*Исх!$C$18</f>
        <v>0</v>
      </c>
      <c r="Z15" s="29">
        <f>'2-ф2'!Z11*Исх!$C$18</f>
        <v>0</v>
      </c>
      <c r="AA15" s="29">
        <f>'2-ф2'!AA11*Исх!$C$18</f>
        <v>0</v>
      </c>
      <c r="AB15" s="29">
        <f>'2-ф2'!AB11*Исх!$C$18</f>
        <v>0</v>
      </c>
      <c r="AC15" s="27">
        <f t="shared" si="26"/>
        <v>0</v>
      </c>
      <c r="AD15" s="29">
        <f>'2-ф2'!AD11*Исх!$C$18</f>
        <v>0</v>
      </c>
      <c r="AE15" s="29">
        <f>'2-ф2'!AE11*Исх!$C$18</f>
        <v>0</v>
      </c>
      <c r="AF15" s="29">
        <f>'2-ф2'!AF11*Исх!$C$18</f>
        <v>0</v>
      </c>
      <c r="AG15" s="29">
        <f>'2-ф2'!AG11*Исх!$C$18</f>
        <v>0</v>
      </c>
      <c r="AH15" s="29">
        <f>'2-ф2'!AH11*Исх!$C$18</f>
        <v>0</v>
      </c>
      <c r="AI15" s="29">
        <f>'2-ф2'!AI11*Исх!$C$18</f>
        <v>0</v>
      </c>
      <c r="AJ15" s="29">
        <f>'2-ф2'!AJ11*Исх!$C$18</f>
        <v>0</v>
      </c>
      <c r="AK15" s="29">
        <f>'2-ф2'!AK11*Исх!$C$18</f>
        <v>0</v>
      </c>
      <c r="AL15" s="29">
        <f>'2-ф2'!AL11*Исх!$C$18</f>
        <v>0</v>
      </c>
      <c r="AM15" s="29">
        <f>'2-ф2'!AM11*Исх!$C$18</f>
        <v>0</v>
      </c>
      <c r="AN15" s="29">
        <f>'2-ф2'!AN11*Исх!$C$18</f>
        <v>0</v>
      </c>
      <c r="AO15" s="29">
        <f>'2-ф2'!AO11*Исх!$C$18</f>
        <v>0</v>
      </c>
      <c r="AP15" s="29">
        <f>'2-ф2'!AP11*Исх!$C$18</f>
        <v>0</v>
      </c>
      <c r="AQ15" s="29">
        <f>'2-ф2'!AQ11*Исх!$C$18</f>
        <v>0</v>
      </c>
      <c r="AR15" s="29">
        <f>'2-ф2'!AR11*Исх!$C$18</f>
        <v>0</v>
      </c>
      <c r="AS15" s="29">
        <f>'2-ф2'!AS11*Исх!$C$18</f>
        <v>0</v>
      </c>
      <c r="AT15" s="29">
        <f>'2-ф2'!AT11*Исх!$C$18</f>
        <v>0</v>
      </c>
      <c r="AU15" s="29">
        <f>'2-ф2'!AU11*Исх!$C$18</f>
        <v>0</v>
      </c>
      <c r="AV15" s="29">
        <f>'2-ф2'!AV11*Исх!$C$18</f>
        <v>0</v>
      </c>
      <c r="AW15" s="29">
        <f>'2-ф2'!AW11*Исх!$C$18</f>
        <v>0</v>
      </c>
      <c r="AX15" s="29">
        <f>'2-ф2'!AX11*Исх!$C$18</f>
        <v>0</v>
      </c>
      <c r="AY15" s="29">
        <f>'2-ф2'!AY11*Исх!$C$18</f>
        <v>0</v>
      </c>
      <c r="AZ15" s="29">
        <f>'2-ф2'!AZ11*Исх!$C$18</f>
        <v>0</v>
      </c>
      <c r="BA15" s="29">
        <f>'2-ф2'!BA11*Исх!$C$18</f>
        <v>0</v>
      </c>
      <c r="BB15" s="29">
        <f>'2-ф2'!BB11*Исх!$C$18</f>
        <v>0</v>
      </c>
      <c r="BC15" s="29">
        <f>'2-ф2'!BC11*Исх!$C$18</f>
        <v>0</v>
      </c>
      <c r="BD15" s="29">
        <f>'2-ф2'!BD11*Исх!$C$18</f>
        <v>0</v>
      </c>
      <c r="BE15" s="29">
        <f>'2-ф2'!BE11*Исх!$C$18</f>
        <v>0</v>
      </c>
      <c r="BF15" s="29">
        <f>'2-ф2'!BF11*Исх!$C$18</f>
        <v>0</v>
      </c>
      <c r="BG15" s="29">
        <f>'2-ф2'!BG11*Исх!$C$18</f>
        <v>0</v>
      </c>
      <c r="BH15" s="29">
        <f>'2-ф2'!BH11*Исх!$C$18</f>
        <v>0</v>
      </c>
      <c r="BI15" s="29">
        <f>'2-ф2'!BI11*Исх!$C$18</f>
        <v>0</v>
      </c>
      <c r="BJ15" s="29">
        <f>'2-ф2'!BJ11*Исх!$C$18</f>
        <v>0</v>
      </c>
      <c r="BK15" s="29">
        <f>'2-ф2'!BK11*Исх!$C$18</f>
        <v>0</v>
      </c>
      <c r="BL15" s="29">
        <f>'2-ф2'!BL11*Исх!$C$18</f>
        <v>0</v>
      </c>
      <c r="BM15" s="29">
        <f>'2-ф2'!BM11*Исх!$C$18</f>
        <v>0</v>
      </c>
      <c r="BN15" s="29">
        <f>'2-ф2'!BN11*Исх!$C$18</f>
        <v>0</v>
      </c>
      <c r="BO15" s="29">
        <f>'2-ф2'!BO11*Исх!$C$18</f>
        <v>0</v>
      </c>
      <c r="BP15" s="29">
        <f t="shared" si="19"/>
        <v>0</v>
      </c>
      <c r="BQ15" s="29">
        <f>'2-ф2'!BQ11*Исх!$C$18</f>
        <v>0</v>
      </c>
      <c r="BR15" s="29">
        <f>'2-ф2'!BR11*Исх!$C$18</f>
        <v>0</v>
      </c>
      <c r="BS15" s="29">
        <f>'2-ф2'!BS11*Исх!$C$18</f>
        <v>0</v>
      </c>
      <c r="BT15" s="29">
        <f>'2-ф2'!BT11*Исх!$C$18</f>
        <v>0</v>
      </c>
      <c r="BU15" s="29">
        <f>'2-ф2'!BU11*Исх!$C$18</f>
        <v>0</v>
      </c>
      <c r="BV15" s="29">
        <f>'2-ф2'!BV11*Исх!$C$18</f>
        <v>0</v>
      </c>
      <c r="BW15" s="29">
        <f>'2-ф2'!BW11*Исх!$C$18</f>
        <v>0</v>
      </c>
      <c r="BX15" s="29">
        <f>'2-ф2'!BX11*Исх!$C$18</f>
        <v>0</v>
      </c>
      <c r="BY15" s="29">
        <f>'2-ф2'!BY11*Исх!$C$18</f>
        <v>0</v>
      </c>
      <c r="BZ15" s="29">
        <f>'2-ф2'!BZ11*Исх!$C$18</f>
        <v>0</v>
      </c>
      <c r="CA15" s="29">
        <f>'2-ф2'!CA11*Исх!$C$18</f>
        <v>0</v>
      </c>
      <c r="CB15" s="29">
        <f>'2-ф2'!CB11*Исх!$C$18</f>
        <v>0</v>
      </c>
      <c r="CC15" s="29">
        <f t="shared" si="20"/>
        <v>0</v>
      </c>
      <c r="CD15" s="29">
        <f>'2-ф2'!CD11*Исх!$C$18</f>
        <v>0</v>
      </c>
      <c r="CE15" s="29">
        <f>'2-ф2'!CE11*Исх!$C$18</f>
        <v>0</v>
      </c>
      <c r="CF15" s="29">
        <f>'2-ф2'!CF11*Исх!$C$18</f>
        <v>0</v>
      </c>
      <c r="CG15" s="29">
        <f>'2-ф2'!CG11*Исх!$C$18</f>
        <v>0</v>
      </c>
      <c r="CH15" s="29">
        <f>'2-ф2'!CH11*Исх!$C$18</f>
        <v>0</v>
      </c>
      <c r="CI15" s="29">
        <f>'2-ф2'!CI11*Исх!$C$18</f>
        <v>0</v>
      </c>
      <c r="CJ15" s="29">
        <f>'2-ф2'!CJ11*Исх!$C$18</f>
        <v>0</v>
      </c>
      <c r="CK15" s="29">
        <f>'2-ф2'!CK11*Исх!$C$18</f>
        <v>0</v>
      </c>
      <c r="CL15" s="29">
        <f>'2-ф2'!CL11*Исх!$C$18</f>
        <v>0</v>
      </c>
      <c r="CM15" s="29">
        <f>'2-ф2'!CM11*Исх!$C$18</f>
        <v>0</v>
      </c>
      <c r="CN15" s="29">
        <f>'2-ф2'!CN11*Исх!$C$18</f>
        <v>0</v>
      </c>
      <c r="CO15" s="29">
        <f>'2-ф2'!CO11*Исх!$C$18</f>
        <v>0</v>
      </c>
      <c r="CP15" s="29">
        <f t="shared" si="27"/>
        <v>0</v>
      </c>
    </row>
    <row r="16" spans="1:94" ht="12.75">
      <c r="A16" s="28" t="s">
        <v>156</v>
      </c>
      <c r="B16" s="27">
        <f t="shared" si="18"/>
        <v>68009.5179</v>
      </c>
      <c r="C16" s="27"/>
      <c r="D16" s="29"/>
      <c r="E16" s="29"/>
      <c r="F16" s="29"/>
      <c r="G16" s="29">
        <f>(Пост!$C$16-Пост!$C$6)*Исх!$C$18+Пост!$C$6+Пост!$C$18+Пост!$C$21</f>
        <v>796.7997</v>
      </c>
      <c r="H16" s="29">
        <f>(Пост!$C$16-Пост!$C$6)*Исх!$C$18+Пост!$C$6+Пост!$C$18+Пост!$C$21</f>
        <v>796.7997</v>
      </c>
      <c r="I16" s="29">
        <f>(Пост!$C$16-Пост!$C$6)*Исх!$C$18+Пост!$C$6+Пост!$C$18+Пост!$C$21</f>
        <v>796.7997</v>
      </c>
      <c r="J16" s="29">
        <f>(Пост!$C$16-Пост!$C$6)*Исх!$C$18+Пост!$C$6+Пост!$C$18+Пост!$C$21</f>
        <v>796.7997</v>
      </c>
      <c r="K16" s="29">
        <f>(Пост!$C$16-Пост!$C$6)*Исх!$C$18+Пост!$C$6+Пост!$C$18+Пост!$C$21</f>
        <v>796.7997</v>
      </c>
      <c r="L16" s="29">
        <f>(Пост!$C$16-Пост!$C$6)*Исх!$C$18+Пост!$C$6+Пост!$C$18+Пост!$C$21</f>
        <v>796.7997</v>
      </c>
      <c r="M16" s="29">
        <f>(Пост!$C$16-Пост!$C$6)*Исх!$C$18+Пост!$C$6+Пост!$C$18+Пост!$C$21</f>
        <v>796.7997</v>
      </c>
      <c r="N16" s="29">
        <f>(Пост!$C$16-Пост!$C$6)*Исх!$C$18+Пост!$C$6+Пост!$C$18+Пост!$C$21</f>
        <v>796.7997</v>
      </c>
      <c r="O16" s="29">
        <f>(Пост!$C$16-Пост!$C$6)*Исх!$C$18+Пост!$C$6+Пост!$C$18+Пост!$C$21</f>
        <v>796.7997</v>
      </c>
      <c r="P16" s="27">
        <f t="shared" si="25"/>
        <v>7171.1973</v>
      </c>
      <c r="Q16" s="29">
        <f>(Пост!$D$16-Пост!$D$6)*Исх!$C$18+Пост!$D$6+Пост!$D$18+Пост!$D$21</f>
        <v>826.70265</v>
      </c>
      <c r="R16" s="29">
        <f>(Пост!$D$16-Пост!$D$6)*Исх!$C$18+Пост!$D$6+Пост!$D$18+Пост!$D$21</f>
        <v>826.70265</v>
      </c>
      <c r="S16" s="29">
        <f>(Пост!$D$16-Пост!$D$6)*Исх!$C$18+Пост!$D$6+Пост!$D$18+Пост!$D$21</f>
        <v>826.70265</v>
      </c>
      <c r="T16" s="29">
        <f>(Пост!$D$16-Пост!$D$6)*Исх!$C$18+Пост!$D$6+Пост!$D$18+Пост!$D$21</f>
        <v>826.70265</v>
      </c>
      <c r="U16" s="29">
        <f>(Пост!$D$16-Пост!$D$6)*Исх!$C$18+Пост!$D$6+Пост!$D$18+Пост!$D$21</f>
        <v>826.70265</v>
      </c>
      <c r="V16" s="29">
        <f>(Пост!$D$16-Пост!$D$6)*Исх!$C$18+Пост!$D$6+Пост!$D$18+Пост!$D$21</f>
        <v>826.70265</v>
      </c>
      <c r="W16" s="29">
        <f>(Пост!$D$16-Пост!$D$6)*Исх!$C$18+Пост!$D$6+Пост!$D$18+Пост!$D$21</f>
        <v>826.70265</v>
      </c>
      <c r="X16" s="29">
        <f>(Пост!$D$16-Пост!$D$6)*Исх!$C$18+Пост!$D$6+Пост!$D$18+Пост!$D$21</f>
        <v>826.70265</v>
      </c>
      <c r="Y16" s="29">
        <f>(Пост!$D$16-Пост!$D$6)*Исх!$C$18+Пост!$D$6+Пост!$D$18+Пост!$D$21</f>
        <v>826.70265</v>
      </c>
      <c r="Z16" s="29">
        <f>(Пост!$D$16-Пост!$D$6)*Исх!$C$18+Пост!$D$6+Пост!$D$18+Пост!$D$21</f>
        <v>826.70265</v>
      </c>
      <c r="AA16" s="29">
        <f>(Пост!$D$16-Пост!$D$6)*Исх!$C$18+Пост!$D$6+Пост!$D$18+Пост!$D$21</f>
        <v>826.70265</v>
      </c>
      <c r="AB16" s="29">
        <f>(Пост!$D$16-Пост!$D$6)*Исх!$C$18+Пост!$D$6+Пост!$D$18+Пост!$D$21</f>
        <v>826.70265</v>
      </c>
      <c r="AC16" s="27">
        <f t="shared" si="26"/>
        <v>9920.431799999998</v>
      </c>
      <c r="AD16" s="29">
        <f>(Пост!$E$16-Пост!$E$6)*Исх!$C$18+Пост!$E$6+Пост!$E$18+Пост!$E$21</f>
        <v>836.6703</v>
      </c>
      <c r="AE16" s="29">
        <f>(Пост!$E$16-Пост!$E$6)*Исх!$C$18+Пост!$E$6+Пост!$E$18+Пост!$E$21</f>
        <v>836.6703</v>
      </c>
      <c r="AF16" s="29">
        <f>(Пост!$E$16-Пост!$E$6)*Исх!$C$18+Пост!$E$6+Пост!$E$18+Пост!$E$21</f>
        <v>836.6703</v>
      </c>
      <c r="AG16" s="29">
        <f>(Пост!$E$16-Пост!$E$6)*Исх!$C$18+Пост!$E$6+Пост!$E$18+Пост!$E$21</f>
        <v>836.6703</v>
      </c>
      <c r="AH16" s="29">
        <f>(Пост!$E$16-Пост!$E$6)*Исх!$C$18+Пост!$E$6+Пост!$E$18+Пост!$E$21</f>
        <v>836.6703</v>
      </c>
      <c r="AI16" s="29">
        <f>(Пост!$E$16-Пост!$E$6)*Исх!$C$18+Пост!$E$6+Пост!$E$18+Пост!$E$21</f>
        <v>836.6703</v>
      </c>
      <c r="AJ16" s="29">
        <f>(Пост!$E$16-Пост!$E$6)*Исх!$C$18+Пост!$E$6+Пост!$E$18+Пост!$E$21</f>
        <v>836.6703</v>
      </c>
      <c r="AK16" s="29">
        <f>(Пост!$E$16-Пост!$E$6)*Исх!$C$18+Пост!$E$6+Пост!$E$18+Пост!$E$21</f>
        <v>836.6703</v>
      </c>
      <c r="AL16" s="29">
        <f>(Пост!$E$16-Пост!$E$6)*Исх!$C$18+Пост!$E$6+Пост!$E$18+Пост!$E$21</f>
        <v>836.6703</v>
      </c>
      <c r="AM16" s="29">
        <f>(Пост!$E$16-Пост!$E$6)*Исх!$C$18+Пост!$E$6+Пост!$E$18+Пост!$E$21</f>
        <v>836.6703</v>
      </c>
      <c r="AN16" s="29">
        <f>(Пост!$E$16-Пост!$E$6)*Исх!$C$18+Пост!$E$6+Пост!$E$18+Пост!$E$21</f>
        <v>836.6703</v>
      </c>
      <c r="AO16" s="29">
        <f>(Пост!$E$16-Пост!$E$6)*Исх!$C$18+Пост!$E$6+Пост!$E$18+Пост!$E$21</f>
        <v>836.6703</v>
      </c>
      <c r="AP16" s="29">
        <f>((Пост!E16-Пост!E6)*Исх!$C$18+Пост!E6+Пост!E18+Пост!E21)*12</f>
        <v>10040.0436</v>
      </c>
      <c r="AQ16" s="29">
        <f>(Пост!$F$16-Пост!$F$6)*Исх!$C$18+Пост!$F$6+Пост!$F$18+Пост!$F$21</f>
        <v>843.3154</v>
      </c>
      <c r="AR16" s="29">
        <f>(Пост!$F$16-Пост!$F$6)*Исх!$C$18+Пост!$F$6+Пост!$F$18+Пост!$F$21</f>
        <v>843.3154</v>
      </c>
      <c r="AS16" s="29">
        <f>(Пост!$F$16-Пост!$F$6)*Исх!$C$18+Пост!$F$6+Пост!$F$18+Пост!$F$21</f>
        <v>843.3154</v>
      </c>
      <c r="AT16" s="29">
        <f>(Пост!$F$16-Пост!$F$6)*Исх!$C$18+Пост!$F$6+Пост!$F$18+Пост!$F$21</f>
        <v>843.3154</v>
      </c>
      <c r="AU16" s="29">
        <f>(Пост!$F$16-Пост!$F$6)*Исх!$C$18+Пост!$F$6+Пост!$F$18+Пост!$F$21</f>
        <v>843.3154</v>
      </c>
      <c r="AV16" s="29">
        <f>(Пост!$F$16-Пост!$F$6)*Исх!$C$18+Пост!$F$6+Пост!$F$18+Пост!$F$21</f>
        <v>843.3154</v>
      </c>
      <c r="AW16" s="29">
        <f>(Пост!$F$16-Пост!$F$6)*Исх!$C$18+Пост!$F$6+Пост!$F$18+Пост!$F$21</f>
        <v>843.3154</v>
      </c>
      <c r="AX16" s="29">
        <f>(Пост!$F$16-Пост!$F$6)*Исх!$C$18+Пост!$F$6+Пост!$F$18+Пост!$F$21</f>
        <v>843.3154</v>
      </c>
      <c r="AY16" s="29">
        <f>(Пост!$F$16-Пост!$F$6)*Исх!$C$18+Пост!$F$6+Пост!$F$18+Пост!$F$21</f>
        <v>843.3154</v>
      </c>
      <c r="AZ16" s="29">
        <f>(Пост!$F$16-Пост!$F$6)*Исх!$C$18+Пост!$F$6+Пост!$F$18+Пост!$F$21</f>
        <v>843.3154</v>
      </c>
      <c r="BA16" s="29">
        <f>(Пост!$F$16-Пост!$F$6)*Исх!$C$18+Пост!$F$6+Пост!$F$18+Пост!$F$21</f>
        <v>843.3154</v>
      </c>
      <c r="BB16" s="29">
        <f>(Пост!$F$16-Пост!$F$6)*Исх!$C$18+Пост!$F$6+Пост!$F$18+Пост!$F$21</f>
        <v>843.3154</v>
      </c>
      <c r="BC16" s="29">
        <f>SUM(AQ16:BB16)</f>
        <v>10119.784799999996</v>
      </c>
      <c r="BD16" s="29">
        <f>(Пост!$G$16-Пост!$G$6)*Исх!$C$18+Пост!$G$6+Пост!$G$18+Пост!$G$21</f>
        <v>849.9605</v>
      </c>
      <c r="BE16" s="29">
        <f>(Пост!$G$16-Пост!$G$6)*Исх!$C$18+Пост!$G$6+Пост!$G$18+Пост!$G$21</f>
        <v>849.9605</v>
      </c>
      <c r="BF16" s="29">
        <f>(Пост!$G$16-Пост!$G$6)*Исх!$C$18+Пост!$G$6+Пост!$G$18+Пост!$G$21</f>
        <v>849.9605</v>
      </c>
      <c r="BG16" s="29">
        <f>(Пост!$G$16-Пост!$G$6)*Исх!$C$18+Пост!$G$6+Пост!$G$18+Пост!$G$21</f>
        <v>849.9605</v>
      </c>
      <c r="BH16" s="29">
        <f>(Пост!$G$16-Пост!$G$6)*Исх!$C$18+Пост!$G$6+Пост!$G$18+Пост!$G$21</f>
        <v>849.9605</v>
      </c>
      <c r="BI16" s="29">
        <f>(Пост!$G$16-Пост!$G$6)*Исх!$C$18+Пост!$G$6+Пост!$G$18+Пост!$G$21</f>
        <v>849.9605</v>
      </c>
      <c r="BJ16" s="29">
        <f>(Пост!$G$16-Пост!$G$6)*Исх!$C$18+Пост!$G$6+Пост!$G$18+Пост!$G$21</f>
        <v>849.9605</v>
      </c>
      <c r="BK16" s="29">
        <f>(Пост!$G$16-Пост!$G$6)*Исх!$C$18+Пост!$G$6+Пост!$G$18+Пост!$G$21</f>
        <v>849.9605</v>
      </c>
      <c r="BL16" s="29">
        <f>(Пост!$G$16-Пост!$G$6)*Исх!$C$18+Пост!$G$6+Пост!$G$18+Пост!$G$21</f>
        <v>849.9605</v>
      </c>
      <c r="BM16" s="29">
        <f>(Пост!$G$16-Пост!$G$6)*Исх!$C$18+Пост!$G$6+Пост!$G$18+Пост!$G$21</f>
        <v>849.9605</v>
      </c>
      <c r="BN16" s="29">
        <f>(Пост!$G$16-Пост!$G$6)*Исх!$C$18+Пост!$G$6+Пост!$G$18+Пост!$G$21</f>
        <v>849.9605</v>
      </c>
      <c r="BO16" s="29">
        <f>(Пост!$G$16-Пост!$G$6)*Исх!$C$18+Пост!$G$6+Пост!$G$18+Пост!$G$21</f>
        <v>849.9605</v>
      </c>
      <c r="BP16" s="29">
        <f t="shared" si="19"/>
        <v>10199.525999999998</v>
      </c>
      <c r="BQ16" s="29">
        <f>(Пост!$H$16-Пост!$H$6)*Исх!$C$18+Пост!$H$6+Пост!$H$18+Пост!$H$21</f>
        <v>856.6056</v>
      </c>
      <c r="BR16" s="29">
        <f>(Пост!$H$16-Пост!$H$6)*Исх!$C$18+Пост!$H$6+Пост!$H$18+Пост!$H$21</f>
        <v>856.6056</v>
      </c>
      <c r="BS16" s="29">
        <f>(Пост!$H$16-Пост!$H$6)*Исх!$C$18+Пост!$H$6+Пост!$H$18+Пост!$H$21</f>
        <v>856.6056</v>
      </c>
      <c r="BT16" s="29">
        <f>(Пост!$H$16-Пост!$H$6)*Исх!$C$18+Пост!$H$6+Пост!$H$18+Пост!$H$21</f>
        <v>856.6056</v>
      </c>
      <c r="BU16" s="29">
        <f>(Пост!$H$16-Пост!$H$6)*Исх!$C$18+Пост!$H$6+Пост!$H$18+Пост!$H$21</f>
        <v>856.6056</v>
      </c>
      <c r="BV16" s="29">
        <f>(Пост!$H$16-Пост!$H$6)*Исх!$C$18+Пост!$H$6+Пост!$H$18+Пост!$H$21</f>
        <v>856.6056</v>
      </c>
      <c r="BW16" s="29">
        <f>(Пост!$H$16-Пост!$H$6)*Исх!$C$18+Пост!$H$6+Пост!$H$18+Пост!$H$21</f>
        <v>856.6056</v>
      </c>
      <c r="BX16" s="29">
        <f>(Пост!$H$16-Пост!$H$6)*Исх!$C$18+Пост!$H$6+Пост!$H$18+Пост!$H$21</f>
        <v>856.6056</v>
      </c>
      <c r="BY16" s="29">
        <f>(Пост!$H$16-Пост!$H$6)*Исх!$C$18+Пост!$H$6+Пост!$H$18+Пост!$H$21</f>
        <v>856.6056</v>
      </c>
      <c r="BZ16" s="29">
        <f>(Пост!$H$16-Пост!$H$6)*Исх!$C$18+Пост!$H$6+Пост!$H$18+Пост!$H$21</f>
        <v>856.6056</v>
      </c>
      <c r="CA16" s="29">
        <f>(Пост!$H$16-Пост!$H$6)*Исх!$C$18+Пост!$H$6+Пост!$H$18+Пост!$H$21</f>
        <v>856.6056</v>
      </c>
      <c r="CB16" s="29">
        <f>(Пост!$H$16-Пост!$H$6)*Исх!$C$18+Пост!$H$6+Пост!$H$18+Пост!$H$21</f>
        <v>856.6056</v>
      </c>
      <c r="CC16" s="29">
        <f t="shared" si="20"/>
        <v>10279.267200000002</v>
      </c>
      <c r="CD16" s="29">
        <f>(Пост!$I$16-Пост!$I$6)*Исх!$C$18+Пост!$I$6+Пост!$I$18+Пост!$I$21</f>
        <v>856.6056</v>
      </c>
      <c r="CE16" s="29">
        <f>(Пост!$I$16-Пост!$I$6)*Исх!$C$18+Пост!$I$6+Пост!$I$18+Пост!$I$21</f>
        <v>856.6056</v>
      </c>
      <c r="CF16" s="29">
        <f>(Пост!$I$16-Пост!$I$6)*Исх!$C$18+Пост!$I$6+Пост!$I$18+Пост!$I$21</f>
        <v>856.6056</v>
      </c>
      <c r="CG16" s="29">
        <f>(Пост!$I$16-Пост!$I$6)*Исх!$C$18+Пост!$I$6+Пост!$I$18+Пост!$I$21</f>
        <v>856.6056</v>
      </c>
      <c r="CH16" s="29">
        <f>(Пост!$I$16-Пост!$I$6)*Исх!$C$18+Пост!$I$6+Пост!$I$18+Пост!$I$21</f>
        <v>856.6056</v>
      </c>
      <c r="CI16" s="29">
        <f>(Пост!$I$16-Пост!$I$6)*Исх!$C$18+Пост!$I$6+Пост!$I$18+Пост!$I$21</f>
        <v>856.6056</v>
      </c>
      <c r="CJ16" s="29">
        <f>(Пост!$I$16-Пост!$I$6)*Исх!$C$18+Пост!$I$6+Пост!$I$18+Пост!$I$21</f>
        <v>856.6056</v>
      </c>
      <c r="CK16" s="29">
        <f>(Пост!$I$16-Пост!$I$6)*Исх!$C$18+Пост!$I$6+Пост!$I$18+Пост!$I$21</f>
        <v>856.6056</v>
      </c>
      <c r="CL16" s="29">
        <f>(Пост!$I$16-Пост!$I$6)*Исх!$C$18+Пост!$I$6+Пост!$I$18+Пост!$I$21</f>
        <v>856.6056</v>
      </c>
      <c r="CM16" s="29">
        <f>(Пост!$I$16-Пост!$I$6)*Исх!$C$18+Пост!$I$6+Пост!$I$18+Пост!$I$21</f>
        <v>856.6056</v>
      </c>
      <c r="CN16" s="29">
        <f>(Пост!$I$16-Пост!$I$6)*Исх!$C$18+Пост!$I$6+Пост!$I$18+Пост!$I$21</f>
        <v>856.6056</v>
      </c>
      <c r="CO16" s="29">
        <f>(Пост!$I$16-Пост!$I$6)*Исх!$C$18+Пост!$I$6+Пост!$I$18+Пост!$I$21</f>
        <v>856.6056</v>
      </c>
      <c r="CP16" s="29">
        <f t="shared" si="27"/>
        <v>10279.267200000002</v>
      </c>
    </row>
    <row r="17" spans="1:94" ht="12.75">
      <c r="A17" s="28" t="s">
        <v>54</v>
      </c>
      <c r="B17" s="27">
        <f t="shared" si="18"/>
        <v>4409.809249999992</v>
      </c>
      <c r="C17" s="27"/>
      <c r="D17" s="29">
        <f>кр!C11</f>
        <v>0</v>
      </c>
      <c r="E17" s="29">
        <f>кр!D11</f>
        <v>0</v>
      </c>
      <c r="F17" s="29">
        <f>кр!E11</f>
        <v>0</v>
      </c>
      <c r="G17" s="29">
        <f>кр!F11</f>
        <v>0</v>
      </c>
      <c r="H17" s="29">
        <f>кр!G11</f>
        <v>0</v>
      </c>
      <c r="I17" s="29">
        <f>кр!H11</f>
        <v>0</v>
      </c>
      <c r="J17" s="29">
        <f>кр!I11</f>
        <v>125.99455</v>
      </c>
      <c r="K17" s="29">
        <f>кр!J11</f>
        <v>124.1685420289855</v>
      </c>
      <c r="L17" s="29">
        <f>кр!K11</f>
        <v>122.34253405797101</v>
      </c>
      <c r="M17" s="29">
        <f>кр!L11</f>
        <v>120.5165260869565</v>
      </c>
      <c r="N17" s="29">
        <f>кр!M11</f>
        <v>118.690518115942</v>
      </c>
      <c r="O17" s="29">
        <f>кр!N11</f>
        <v>116.86451014492752</v>
      </c>
      <c r="P17" s="27">
        <f t="shared" si="25"/>
        <v>728.5771804347826</v>
      </c>
      <c r="Q17" s="29">
        <f>кр!P11</f>
        <v>115.03850217391302</v>
      </c>
      <c r="R17" s="29">
        <f>кр!Q11</f>
        <v>113.21249420289853</v>
      </c>
      <c r="S17" s="29">
        <f>кр!R11</f>
        <v>111.38648623188402</v>
      </c>
      <c r="T17" s="29">
        <f>кр!S11</f>
        <v>109.56047826086952</v>
      </c>
      <c r="U17" s="29">
        <f>кр!T11</f>
        <v>107.73447028985504</v>
      </c>
      <c r="V17" s="29">
        <f>кр!U11</f>
        <v>105.90846231884053</v>
      </c>
      <c r="W17" s="29">
        <f>кр!V11</f>
        <v>104.08245434782604</v>
      </c>
      <c r="X17" s="29">
        <f>кр!W11</f>
        <v>102.25644637681154</v>
      </c>
      <c r="Y17" s="29">
        <f>кр!X11</f>
        <v>100.43043840579703</v>
      </c>
      <c r="Z17" s="29">
        <f>кр!Y11</f>
        <v>98.60443043478256</v>
      </c>
      <c r="AA17" s="29">
        <f>кр!Z11</f>
        <v>96.77842246376805</v>
      </c>
      <c r="AB17" s="29">
        <f>кр!AA11</f>
        <v>94.95241449275356</v>
      </c>
      <c r="AC17" s="27">
        <f t="shared" si="26"/>
        <v>1259.9454999999994</v>
      </c>
      <c r="AD17" s="29">
        <f>кр!AC11</f>
        <v>93.12640652173906</v>
      </c>
      <c r="AE17" s="29">
        <f>кр!AD11</f>
        <v>91.30039855072455</v>
      </c>
      <c r="AF17" s="29">
        <f>кр!AE11</f>
        <v>89.47439057971008</v>
      </c>
      <c r="AG17" s="29">
        <f>кр!AF11</f>
        <v>87.64838260869557</v>
      </c>
      <c r="AH17" s="29">
        <f>кр!AG11</f>
        <v>85.82237463768108</v>
      </c>
      <c r="AI17" s="29">
        <f>кр!AH11</f>
        <v>83.99636666666657</v>
      </c>
      <c r="AJ17" s="29">
        <f>кр!AI11</f>
        <v>82.17035869565208</v>
      </c>
      <c r="AK17" s="29">
        <f>кр!AJ11</f>
        <v>80.34435072463758</v>
      </c>
      <c r="AL17" s="29">
        <f>кр!AK11</f>
        <v>78.51834275362309</v>
      </c>
      <c r="AM17" s="29">
        <f>кр!AL11</f>
        <v>76.6923347826086</v>
      </c>
      <c r="AN17" s="29">
        <f>кр!AM11</f>
        <v>74.86632681159409</v>
      </c>
      <c r="AO17" s="29">
        <f>кр!AN11</f>
        <v>73.0403188405796</v>
      </c>
      <c r="AP17" s="34">
        <f>кр!AO11</f>
        <v>997.000352173912</v>
      </c>
      <c r="AQ17" s="29">
        <f>кр!AP11</f>
        <v>71.2143108695651</v>
      </c>
      <c r="AR17" s="29">
        <f>кр!AQ11</f>
        <v>69.3883028985506</v>
      </c>
      <c r="AS17" s="29">
        <f>кр!AR11</f>
        <v>67.56229492753612</v>
      </c>
      <c r="AT17" s="29">
        <f>кр!AS11</f>
        <v>65.73628695652161</v>
      </c>
      <c r="AU17" s="29">
        <f>кр!AT11</f>
        <v>63.91027898550712</v>
      </c>
      <c r="AV17" s="29">
        <f>кр!AU11</f>
        <v>62.08427101449262</v>
      </c>
      <c r="AW17" s="29">
        <f>кр!AV11</f>
        <v>60.25826304347813</v>
      </c>
      <c r="AX17" s="29">
        <f>кр!AW11</f>
        <v>58.432255072463626</v>
      </c>
      <c r="AY17" s="29">
        <f>кр!AX11</f>
        <v>56.60624710144913</v>
      </c>
      <c r="AZ17" s="29">
        <f>кр!AY11</f>
        <v>54.78023913043464</v>
      </c>
      <c r="BA17" s="29">
        <f>кр!AZ11</f>
        <v>52.95423115942014</v>
      </c>
      <c r="BB17" s="29">
        <f>кр!BA11</f>
        <v>51.12822318840565</v>
      </c>
      <c r="BC17" s="34">
        <f>кр!BB11</f>
        <v>734.0552043478245</v>
      </c>
      <c r="BD17" s="29">
        <f>кр!BC11</f>
        <v>49.302215217391144</v>
      </c>
      <c r="BE17" s="29">
        <f>кр!BD11</f>
        <v>47.47620724637665</v>
      </c>
      <c r="BF17" s="29">
        <f>кр!BE11</f>
        <v>45.650199275362155</v>
      </c>
      <c r="BG17" s="29">
        <f>кр!BF11</f>
        <v>43.82419130434766</v>
      </c>
      <c r="BH17" s="29">
        <f>кр!BG11</f>
        <v>41.998183333333166</v>
      </c>
      <c r="BI17" s="29">
        <f>кр!BH11</f>
        <v>40.17217536231867</v>
      </c>
      <c r="BJ17" s="29">
        <f>кр!BI11</f>
        <v>38.34616739130418</v>
      </c>
      <c r="BK17" s="29">
        <f>кр!BJ11</f>
        <v>36.52015942028969</v>
      </c>
      <c r="BL17" s="29">
        <f>кр!BK11</f>
        <v>34.694151449275196</v>
      </c>
      <c r="BM17" s="29">
        <f>кр!BL11</f>
        <v>32.8681434782607</v>
      </c>
      <c r="BN17" s="29">
        <f>кр!BM11</f>
        <v>31.04213550724621</v>
      </c>
      <c r="BO17" s="29">
        <f>кр!BN11</f>
        <v>29.21612753623172</v>
      </c>
      <c r="BP17" s="29">
        <f t="shared" si="19"/>
        <v>471.11005652173714</v>
      </c>
      <c r="BQ17" s="29">
        <f>кр!BP11</f>
        <v>27.39011956521723</v>
      </c>
      <c r="BR17" s="29">
        <f>кр!BQ11</f>
        <v>25.564111594202732</v>
      </c>
      <c r="BS17" s="29">
        <f>кр!BR11</f>
        <v>23.73810362318824</v>
      </c>
      <c r="BT17" s="29">
        <f>кр!BS11</f>
        <v>21.91209565217375</v>
      </c>
      <c r="BU17" s="29">
        <f>кр!BT11</f>
        <v>20.08608768115926</v>
      </c>
      <c r="BV17" s="29">
        <f>кр!BU11</f>
        <v>18.26007971014477</v>
      </c>
      <c r="BW17" s="29">
        <f>кр!BV11</f>
        <v>16.434071739130278</v>
      </c>
      <c r="BX17" s="29">
        <f>кр!BW11</f>
        <v>14.608063768115784</v>
      </c>
      <c r="BY17" s="29">
        <f>кр!BX11</f>
        <v>12.782055797101293</v>
      </c>
      <c r="BZ17" s="29">
        <f>кр!BY11</f>
        <v>10.9560478260868</v>
      </c>
      <c r="CA17" s="29">
        <f>кр!BZ11</f>
        <v>9.130039855072308</v>
      </c>
      <c r="CB17" s="29">
        <f>кр!CA11</f>
        <v>7.304031884057815</v>
      </c>
      <c r="CC17" s="29">
        <f t="shared" si="20"/>
        <v>208.16490869565027</v>
      </c>
      <c r="CD17" s="29">
        <f>кр!CC11</f>
        <v>5.478023913043322</v>
      </c>
      <c r="CE17" s="29">
        <f>кр!CD11</f>
        <v>3.6520159420288287</v>
      </c>
      <c r="CF17" s="29">
        <f>кр!CE11</f>
        <v>1.8260079710143362</v>
      </c>
      <c r="CG17" s="29">
        <f>кр!CF11</f>
        <v>-1.5631940186722204E-13</v>
      </c>
      <c r="CH17" s="29">
        <f>кр!CG11</f>
        <v>-1.5631940186722204E-13</v>
      </c>
      <c r="CI17" s="29">
        <f>кр!CH11</f>
        <v>-1.5631940186722204E-13</v>
      </c>
      <c r="CJ17" s="29">
        <f>кр!CI11</f>
        <v>-1.5631940186722204E-13</v>
      </c>
      <c r="CK17" s="29">
        <f>кр!CJ11</f>
        <v>-1.5631940186722204E-13</v>
      </c>
      <c r="CL17" s="29">
        <f>кр!CK11</f>
        <v>-1.5631940186722204E-13</v>
      </c>
      <c r="CM17" s="29">
        <f>кр!CL11</f>
        <v>-1.5631940186722204E-13</v>
      </c>
      <c r="CN17" s="29">
        <f>кр!CM11</f>
        <v>-1.5631940186722204E-13</v>
      </c>
      <c r="CO17" s="29">
        <f>кр!CN11</f>
        <v>-1.5631940186722204E-13</v>
      </c>
      <c r="CP17" s="29">
        <f t="shared" si="27"/>
        <v>10.956047826085081</v>
      </c>
    </row>
    <row r="18" spans="1:94" ht="12.75">
      <c r="A18" s="28" t="s">
        <v>280</v>
      </c>
      <c r="B18" s="27">
        <f t="shared" si="18"/>
        <v>8177.9544000000005</v>
      </c>
      <c r="C18" s="27"/>
      <c r="D18" s="29">
        <f>'2-ф2'!D17</f>
        <v>0</v>
      </c>
      <c r="E18" s="29">
        <f>'2-ф2'!E17</f>
        <v>0</v>
      </c>
      <c r="F18" s="29">
        <f>'2-ф2'!F17</f>
        <v>0</v>
      </c>
      <c r="G18" s="29">
        <f>'2-ф2'!G17</f>
        <v>0</v>
      </c>
      <c r="H18" s="29">
        <f>'2-ф2'!H17</f>
        <v>45.057599999999994</v>
      </c>
      <c r="I18" s="29">
        <f>'2-ф2'!I17</f>
        <v>52.5672</v>
      </c>
      <c r="J18" s="29">
        <f>'2-ф2'!J17</f>
        <v>52.5672</v>
      </c>
      <c r="K18" s="29">
        <f>'2-ф2'!K17</f>
        <v>60.076800000000006</v>
      </c>
      <c r="L18" s="29">
        <f>'2-ф2'!L17</f>
        <v>60.076800000000006</v>
      </c>
      <c r="M18" s="29">
        <f>'2-ф2'!M17</f>
        <v>67.5864</v>
      </c>
      <c r="N18" s="29">
        <f>'2-ф2'!N17</f>
        <v>67.5864</v>
      </c>
      <c r="O18" s="29">
        <f>'2-ф2'!O17</f>
        <v>67.5864</v>
      </c>
      <c r="P18" s="27">
        <f t="shared" si="25"/>
        <v>473.10480000000007</v>
      </c>
      <c r="Q18" s="29">
        <f>'2-ф2'!Q17</f>
        <v>75.096</v>
      </c>
      <c r="R18" s="29">
        <f>'2-ф2'!R17</f>
        <v>75.096</v>
      </c>
      <c r="S18" s="29">
        <f>'2-ф2'!S17</f>
        <v>75.096</v>
      </c>
      <c r="T18" s="29">
        <f>'2-ф2'!T17</f>
        <v>82.6056</v>
      </c>
      <c r="U18" s="29">
        <f>'2-ф2'!U17</f>
        <v>82.6056</v>
      </c>
      <c r="V18" s="29">
        <f>'2-ф2'!V17</f>
        <v>82.6056</v>
      </c>
      <c r="W18" s="29">
        <f>'2-ф2'!W17</f>
        <v>90.11519999999999</v>
      </c>
      <c r="X18" s="29">
        <f>'2-ф2'!X17</f>
        <v>90.11519999999999</v>
      </c>
      <c r="Y18" s="29">
        <f>'2-ф2'!Y17</f>
        <v>90.11519999999999</v>
      </c>
      <c r="Z18" s="29">
        <f>'2-ф2'!Z17</f>
        <v>97.6248</v>
      </c>
      <c r="AA18" s="29">
        <f>'2-ф2'!AA17</f>
        <v>97.6248</v>
      </c>
      <c r="AB18" s="29">
        <f>'2-ф2'!AB17</f>
        <v>97.6248</v>
      </c>
      <c r="AC18" s="27">
        <f t="shared" si="26"/>
        <v>1036.3247999999999</v>
      </c>
      <c r="AD18" s="29">
        <f>'2-ф2'!AD17</f>
        <v>97.62480000000001</v>
      </c>
      <c r="AE18" s="29">
        <f>'2-ф2'!AE17</f>
        <v>97.62480000000001</v>
      </c>
      <c r="AF18" s="29">
        <f>'2-ф2'!AF17</f>
        <v>97.62480000000001</v>
      </c>
      <c r="AG18" s="29">
        <f>'2-ф2'!AG17</f>
        <v>97.62480000000001</v>
      </c>
      <c r="AH18" s="29">
        <f>'2-ф2'!AH17</f>
        <v>97.62480000000001</v>
      </c>
      <c r="AI18" s="29">
        <f>'2-ф2'!AI17</f>
        <v>97.62480000000001</v>
      </c>
      <c r="AJ18" s="29">
        <f>'2-ф2'!AJ17</f>
        <v>97.62480000000001</v>
      </c>
      <c r="AK18" s="29">
        <f>'2-ф2'!AK17</f>
        <v>97.62480000000001</v>
      </c>
      <c r="AL18" s="29">
        <f>'2-ф2'!AL17</f>
        <v>97.62480000000001</v>
      </c>
      <c r="AM18" s="29">
        <f>'2-ф2'!AM17</f>
        <v>97.62480000000001</v>
      </c>
      <c r="AN18" s="29">
        <f>'2-ф2'!AN17</f>
        <v>97.62480000000001</v>
      </c>
      <c r="AO18" s="29">
        <f>'2-ф2'!AO17</f>
        <v>97.62480000000001</v>
      </c>
      <c r="AP18" s="29">
        <f>'2-ф2'!AP17</f>
        <v>1171.4976000000001</v>
      </c>
      <c r="AQ18" s="29">
        <f>'2-ф2'!AQ17</f>
        <v>105.1344</v>
      </c>
      <c r="AR18" s="29">
        <f>'2-ф2'!AR17</f>
        <v>105.1344</v>
      </c>
      <c r="AS18" s="29">
        <f>'2-ф2'!AS17</f>
        <v>105.1344</v>
      </c>
      <c r="AT18" s="29">
        <f>'2-ф2'!AT17</f>
        <v>105.1344</v>
      </c>
      <c r="AU18" s="29">
        <f>'2-ф2'!AU17</f>
        <v>105.1344</v>
      </c>
      <c r="AV18" s="29">
        <f>'2-ф2'!AV17</f>
        <v>105.1344</v>
      </c>
      <c r="AW18" s="29">
        <f>'2-ф2'!AW17</f>
        <v>105.1344</v>
      </c>
      <c r="AX18" s="29">
        <f>'2-ф2'!AX17</f>
        <v>105.1344</v>
      </c>
      <c r="AY18" s="29">
        <f>'2-ф2'!AY17</f>
        <v>105.1344</v>
      </c>
      <c r="AZ18" s="29">
        <f>'2-ф2'!AZ17</f>
        <v>105.1344</v>
      </c>
      <c r="BA18" s="29">
        <f>'2-ф2'!BA17</f>
        <v>105.1344</v>
      </c>
      <c r="BB18" s="29">
        <f>'2-ф2'!BB17</f>
        <v>105.1344</v>
      </c>
      <c r="BC18" s="29">
        <f>'2-ф2'!BC17</f>
        <v>1261.6128</v>
      </c>
      <c r="BD18" s="29">
        <f>'2-ф2'!BD17</f>
        <v>112.644</v>
      </c>
      <c r="BE18" s="29">
        <f>'2-ф2'!BE17</f>
        <v>112.644</v>
      </c>
      <c r="BF18" s="29">
        <f>'2-ф2'!BF17</f>
        <v>112.644</v>
      </c>
      <c r="BG18" s="29">
        <f>'2-ф2'!BG17</f>
        <v>112.644</v>
      </c>
      <c r="BH18" s="29">
        <f>'2-ф2'!BH17</f>
        <v>112.644</v>
      </c>
      <c r="BI18" s="29">
        <f>'2-ф2'!BI17</f>
        <v>112.644</v>
      </c>
      <c r="BJ18" s="29">
        <f>'2-ф2'!BJ17</f>
        <v>112.644</v>
      </c>
      <c r="BK18" s="29">
        <f>'2-ф2'!BK17</f>
        <v>112.644</v>
      </c>
      <c r="BL18" s="29">
        <f>'2-ф2'!BL17</f>
        <v>112.644</v>
      </c>
      <c r="BM18" s="29">
        <f>'2-ф2'!BM17</f>
        <v>112.644</v>
      </c>
      <c r="BN18" s="29">
        <f>'2-ф2'!BN17</f>
        <v>112.644</v>
      </c>
      <c r="BO18" s="29">
        <f>'2-ф2'!BO17</f>
        <v>112.644</v>
      </c>
      <c r="BP18" s="29">
        <f t="shared" si="19"/>
        <v>1351.728</v>
      </c>
      <c r="BQ18" s="29">
        <f>'2-ф2'!BQ17</f>
        <v>120.15360000000003</v>
      </c>
      <c r="BR18" s="29">
        <f>'2-ф2'!BR17</f>
        <v>120.15360000000003</v>
      </c>
      <c r="BS18" s="29">
        <f>'2-ф2'!BS17</f>
        <v>120.15360000000003</v>
      </c>
      <c r="BT18" s="29">
        <f>'2-ф2'!BT17</f>
        <v>120.15360000000003</v>
      </c>
      <c r="BU18" s="29">
        <f>'2-ф2'!BU17</f>
        <v>120.15360000000003</v>
      </c>
      <c r="BV18" s="29">
        <f>'2-ф2'!BV17</f>
        <v>120.15360000000003</v>
      </c>
      <c r="BW18" s="29">
        <f>'2-ф2'!BW17</f>
        <v>120.15360000000003</v>
      </c>
      <c r="BX18" s="29">
        <f>'2-ф2'!BX17</f>
        <v>120.15360000000003</v>
      </c>
      <c r="BY18" s="29">
        <f>'2-ф2'!BY17</f>
        <v>120.15360000000003</v>
      </c>
      <c r="BZ18" s="29">
        <f>'2-ф2'!BZ17</f>
        <v>120.15360000000003</v>
      </c>
      <c r="CA18" s="29">
        <f>'2-ф2'!CA17</f>
        <v>120.15360000000003</v>
      </c>
      <c r="CB18" s="29">
        <f>'2-ф2'!CB17</f>
        <v>120.15360000000003</v>
      </c>
      <c r="CC18" s="29">
        <f t="shared" si="20"/>
        <v>1441.8432000000005</v>
      </c>
      <c r="CD18" s="29">
        <f>'2-ф2'!CD17</f>
        <v>120.15360000000003</v>
      </c>
      <c r="CE18" s="29">
        <f>'2-ф2'!CE17</f>
        <v>120.15360000000003</v>
      </c>
      <c r="CF18" s="29">
        <f>'2-ф2'!CF17</f>
        <v>120.15360000000003</v>
      </c>
      <c r="CG18" s="29">
        <f>'2-ф2'!CG17</f>
        <v>120.15360000000003</v>
      </c>
      <c r="CH18" s="29">
        <f>'2-ф2'!CH17</f>
        <v>120.15360000000003</v>
      </c>
      <c r="CI18" s="29">
        <f>'2-ф2'!CI17</f>
        <v>120.15360000000003</v>
      </c>
      <c r="CJ18" s="29">
        <f>'2-ф2'!CJ17</f>
        <v>120.15360000000003</v>
      </c>
      <c r="CK18" s="29">
        <f>'2-ф2'!CK17</f>
        <v>120.15360000000003</v>
      </c>
      <c r="CL18" s="29">
        <f>'2-ф2'!CL17</f>
        <v>120.15360000000003</v>
      </c>
      <c r="CM18" s="29">
        <f>'2-ф2'!CM17</f>
        <v>120.15360000000003</v>
      </c>
      <c r="CN18" s="29">
        <f>'2-ф2'!CN17</f>
        <v>120.15360000000003</v>
      </c>
      <c r="CO18" s="29">
        <f>'2-ф2'!CO17</f>
        <v>120.15360000000003</v>
      </c>
      <c r="CP18" s="29">
        <f t="shared" si="27"/>
        <v>1441.8432000000005</v>
      </c>
    </row>
    <row r="19" spans="1:94" ht="12.75">
      <c r="A19" s="28" t="s">
        <v>34</v>
      </c>
      <c r="B19" s="27">
        <f t="shared" si="18"/>
        <v>0</v>
      </c>
      <c r="C19" s="27"/>
      <c r="D19" s="29">
        <f>'2-ф2'!D30</f>
        <v>0</v>
      </c>
      <c r="E19" s="29">
        <f>'2-ф2'!E30</f>
        <v>0</v>
      </c>
      <c r="F19" s="29">
        <f>'2-ф2'!F30</f>
        <v>0</v>
      </c>
      <c r="G19" s="29">
        <f>'2-ф2'!G30</f>
        <v>0</v>
      </c>
      <c r="H19" s="29">
        <f>'2-ф2'!H30</f>
        <v>0</v>
      </c>
      <c r="I19" s="29">
        <f>'2-ф2'!I30</f>
        <v>0</v>
      </c>
      <c r="J19" s="29">
        <f>'2-ф2'!J30</f>
        <v>0</v>
      </c>
      <c r="K19" s="29">
        <f>'2-ф2'!K30</f>
        <v>0</v>
      </c>
      <c r="L19" s="29">
        <f>'2-ф2'!L30</f>
        <v>0</v>
      </c>
      <c r="M19" s="29">
        <f>'2-ф2'!M30</f>
        <v>0</v>
      </c>
      <c r="N19" s="29">
        <f>'2-ф2'!N30</f>
        <v>0</v>
      </c>
      <c r="O19" s="29">
        <f>'2-ф2'!O30</f>
        <v>0</v>
      </c>
      <c r="P19" s="27">
        <f t="shared" si="25"/>
        <v>0</v>
      </c>
      <c r="Q19" s="29">
        <f>'2-ф2'!Q30</f>
        <v>0</v>
      </c>
      <c r="R19" s="29">
        <f>'2-ф2'!R30</f>
        <v>0</v>
      </c>
      <c r="S19" s="29">
        <f>'2-ф2'!S30</f>
        <v>0</v>
      </c>
      <c r="T19" s="29">
        <f>'2-ф2'!T30</f>
        <v>0</v>
      </c>
      <c r="U19" s="29">
        <f>'2-ф2'!U30</f>
        <v>0</v>
      </c>
      <c r="V19" s="29">
        <f>'2-ф2'!V30</f>
        <v>0</v>
      </c>
      <c r="W19" s="29">
        <f>'2-ф2'!W30</f>
        <v>0</v>
      </c>
      <c r="X19" s="29">
        <f>'2-ф2'!X30</f>
        <v>0</v>
      </c>
      <c r="Y19" s="29">
        <f>'2-ф2'!Y30</f>
        <v>0</v>
      </c>
      <c r="Z19" s="29">
        <f>'2-ф2'!Z30</f>
        <v>0</v>
      </c>
      <c r="AA19" s="29">
        <f>'2-ф2'!AA30</f>
        <v>0</v>
      </c>
      <c r="AB19" s="29">
        <f>'2-ф2'!AB30</f>
        <v>0</v>
      </c>
      <c r="AC19" s="27">
        <f t="shared" si="26"/>
        <v>0</v>
      </c>
      <c r="AD19" s="29">
        <f>'2-ф2'!AD30</f>
        <v>0</v>
      </c>
      <c r="AE19" s="29">
        <f>'2-ф2'!AE30</f>
        <v>0</v>
      </c>
      <c r="AF19" s="29">
        <f>'2-ф2'!AF30</f>
        <v>0</v>
      </c>
      <c r="AG19" s="29">
        <f>'2-ф2'!AG30</f>
        <v>0</v>
      </c>
      <c r="AH19" s="29">
        <f>'2-ф2'!AH30</f>
        <v>0</v>
      </c>
      <c r="AI19" s="29">
        <f>'2-ф2'!AI30</f>
        <v>0</v>
      </c>
      <c r="AJ19" s="29">
        <f>'2-ф2'!AJ30</f>
        <v>0</v>
      </c>
      <c r="AK19" s="29">
        <f>'2-ф2'!AK30</f>
        <v>0</v>
      </c>
      <c r="AL19" s="29">
        <f>'2-ф2'!AL30</f>
        <v>0</v>
      </c>
      <c r="AM19" s="29">
        <f>'2-ф2'!AM30</f>
        <v>0</v>
      </c>
      <c r="AN19" s="29">
        <f>'2-ф2'!AN30</f>
        <v>0</v>
      </c>
      <c r="AO19" s="29">
        <f>'2-ф2'!AO30</f>
        <v>0</v>
      </c>
      <c r="AP19" s="29">
        <f>'2-ф2'!AP30</f>
        <v>0</v>
      </c>
      <c r="AQ19" s="29">
        <f>'2-ф2'!AQ30</f>
        <v>0</v>
      </c>
      <c r="AR19" s="29">
        <f>'2-ф2'!AR30</f>
        <v>0</v>
      </c>
      <c r="AS19" s="29">
        <f>'2-ф2'!AS30</f>
        <v>0</v>
      </c>
      <c r="AT19" s="29">
        <f>'2-ф2'!AT30</f>
        <v>0</v>
      </c>
      <c r="AU19" s="29">
        <f>'2-ф2'!AU30</f>
        <v>0</v>
      </c>
      <c r="AV19" s="29">
        <f>'2-ф2'!AV30</f>
        <v>0</v>
      </c>
      <c r="AW19" s="29">
        <f>'2-ф2'!AW30</f>
        <v>0</v>
      </c>
      <c r="AX19" s="29">
        <f>'2-ф2'!AX30</f>
        <v>0</v>
      </c>
      <c r="AY19" s="29">
        <f>'2-ф2'!AY30</f>
        <v>0</v>
      </c>
      <c r="AZ19" s="29">
        <f>'2-ф2'!AZ30</f>
        <v>0</v>
      </c>
      <c r="BA19" s="29">
        <f>'2-ф2'!BA30</f>
        <v>0</v>
      </c>
      <c r="BB19" s="29">
        <f>'2-ф2'!BB30</f>
        <v>0</v>
      </c>
      <c r="BC19" s="29">
        <f>'2-ф2'!BC30</f>
        <v>0</v>
      </c>
      <c r="BD19" s="29">
        <f>'2-ф2'!BD30</f>
        <v>0</v>
      </c>
      <c r="BE19" s="29">
        <f>'2-ф2'!BE30</f>
        <v>0</v>
      </c>
      <c r="BF19" s="29">
        <f>'2-ф2'!BF30</f>
        <v>0</v>
      </c>
      <c r="BG19" s="29">
        <f>'2-ф2'!BG30</f>
        <v>0</v>
      </c>
      <c r="BH19" s="29">
        <f>'2-ф2'!BH30</f>
        <v>0</v>
      </c>
      <c r="BI19" s="29">
        <f>'2-ф2'!BI30</f>
        <v>0</v>
      </c>
      <c r="BJ19" s="29">
        <f>'2-ф2'!BJ30</f>
        <v>0</v>
      </c>
      <c r="BK19" s="29">
        <f>'2-ф2'!BK30</f>
        <v>0</v>
      </c>
      <c r="BL19" s="29">
        <f>'2-ф2'!BL30</f>
        <v>0</v>
      </c>
      <c r="BM19" s="29">
        <f>'2-ф2'!BM30</f>
        <v>0</v>
      </c>
      <c r="BN19" s="29">
        <f>'2-ф2'!BN30</f>
        <v>0</v>
      </c>
      <c r="BO19" s="29">
        <f>'2-ф2'!BO30</f>
        <v>0</v>
      </c>
      <c r="BP19" s="29">
        <f t="shared" si="19"/>
        <v>0</v>
      </c>
      <c r="BQ19" s="29">
        <f>'2-ф2'!BQ30</f>
        <v>0</v>
      </c>
      <c r="BR19" s="29">
        <f>'2-ф2'!BR30</f>
        <v>0</v>
      </c>
      <c r="BS19" s="29">
        <f>'2-ф2'!BS30</f>
        <v>0</v>
      </c>
      <c r="BT19" s="29">
        <f>'2-ф2'!BT30</f>
        <v>0</v>
      </c>
      <c r="BU19" s="29">
        <f>'2-ф2'!BU30</f>
        <v>0</v>
      </c>
      <c r="BV19" s="29">
        <f>'2-ф2'!BV30</f>
        <v>0</v>
      </c>
      <c r="BW19" s="29">
        <f>'2-ф2'!BW30</f>
        <v>0</v>
      </c>
      <c r="BX19" s="29">
        <f>'2-ф2'!BX30</f>
        <v>0</v>
      </c>
      <c r="BY19" s="29">
        <f>'2-ф2'!BY30</f>
        <v>0</v>
      </c>
      <c r="BZ19" s="29">
        <f>'2-ф2'!BZ30</f>
        <v>0</v>
      </c>
      <c r="CA19" s="29">
        <f>'2-ф2'!CA30</f>
        <v>0</v>
      </c>
      <c r="CB19" s="29">
        <f>'2-ф2'!CB30</f>
        <v>0</v>
      </c>
      <c r="CC19" s="29">
        <f t="shared" si="20"/>
        <v>0</v>
      </c>
      <c r="CD19" s="29">
        <f>'2-ф2'!CD30</f>
        <v>0</v>
      </c>
      <c r="CE19" s="29">
        <f>'2-ф2'!CE30</f>
        <v>0</v>
      </c>
      <c r="CF19" s="29">
        <f>'2-ф2'!CF30</f>
        <v>0</v>
      </c>
      <c r="CG19" s="29">
        <f>'2-ф2'!CG30</f>
        <v>0</v>
      </c>
      <c r="CH19" s="29">
        <f>'2-ф2'!CH30</f>
        <v>0</v>
      </c>
      <c r="CI19" s="29">
        <f>'2-ф2'!CI30</f>
        <v>0</v>
      </c>
      <c r="CJ19" s="29">
        <f>'2-ф2'!CJ30</f>
        <v>0</v>
      </c>
      <c r="CK19" s="29">
        <f>'2-ф2'!CK30</f>
        <v>0</v>
      </c>
      <c r="CL19" s="29">
        <f>'2-ф2'!CL30</f>
        <v>0</v>
      </c>
      <c r="CM19" s="29">
        <f>'2-ф2'!CM30</f>
        <v>0</v>
      </c>
      <c r="CN19" s="29">
        <f>'2-ф2'!CN30</f>
        <v>0</v>
      </c>
      <c r="CO19" s="29">
        <f>'2-ф2'!CO30</f>
        <v>0</v>
      </c>
      <c r="CP19" s="29">
        <f t="shared" si="27"/>
        <v>0</v>
      </c>
    </row>
    <row r="20" spans="1:94" s="21" customFormat="1" ht="25.5">
      <c r="A20" s="35" t="s">
        <v>19</v>
      </c>
      <c r="B20" s="18">
        <f>B9-B13</f>
        <v>40477.19845000008</v>
      </c>
      <c r="C20" s="18"/>
      <c r="D20" s="18">
        <f aca="true" t="shared" si="28" ref="D20:CP20">D9-D13</f>
        <v>0</v>
      </c>
      <c r="E20" s="18">
        <f t="shared" si="28"/>
        <v>0</v>
      </c>
      <c r="F20" s="18">
        <f t="shared" si="28"/>
        <v>0</v>
      </c>
      <c r="G20" s="18">
        <f t="shared" si="28"/>
        <v>-2038.7997</v>
      </c>
      <c r="H20" s="18">
        <f t="shared" si="28"/>
        <v>-167.93730000000028</v>
      </c>
      <c r="I20" s="18">
        <f t="shared" si="28"/>
        <v>-63.12689999999998</v>
      </c>
      <c r="J20" s="18">
        <f t="shared" si="28"/>
        <v>-189.12144999999987</v>
      </c>
      <c r="K20" s="18">
        <f t="shared" si="28"/>
        <v>-82.48504202898516</v>
      </c>
      <c r="L20" s="18">
        <f t="shared" si="28"/>
        <v>-80.65903405797076</v>
      </c>
      <c r="M20" s="18">
        <f t="shared" si="28"/>
        <v>25.977373913043266</v>
      </c>
      <c r="N20" s="18">
        <f t="shared" si="28"/>
        <v>27.803381884058126</v>
      </c>
      <c r="O20" s="18">
        <f t="shared" si="28"/>
        <v>29.62938985507253</v>
      </c>
      <c r="P20" s="18">
        <f t="shared" si="28"/>
        <v>-2538.7192804347796</v>
      </c>
      <c r="Q20" s="18">
        <f t="shared" si="28"/>
        <v>106.36284782608709</v>
      </c>
      <c r="R20" s="18">
        <f t="shared" si="28"/>
        <v>108.1888557971015</v>
      </c>
      <c r="S20" s="18">
        <f t="shared" si="28"/>
        <v>110.0148637681159</v>
      </c>
      <c r="T20" s="18">
        <f t="shared" si="28"/>
        <v>216.6512717391306</v>
      </c>
      <c r="U20" s="18">
        <f t="shared" si="28"/>
        <v>218.477279710145</v>
      </c>
      <c r="V20" s="18">
        <f t="shared" si="28"/>
        <v>220.30328768115942</v>
      </c>
      <c r="W20" s="18">
        <f t="shared" si="28"/>
        <v>326.9396956521732</v>
      </c>
      <c r="X20" s="18">
        <f t="shared" si="28"/>
        <v>328.7657036231876</v>
      </c>
      <c r="Y20" s="18">
        <f t="shared" si="28"/>
        <v>330.5917115942025</v>
      </c>
      <c r="Z20" s="18">
        <f t="shared" si="28"/>
        <v>437.2281195652172</v>
      </c>
      <c r="AA20" s="18">
        <f t="shared" si="28"/>
        <v>439.0541275362316</v>
      </c>
      <c r="AB20" s="18">
        <f t="shared" si="28"/>
        <v>440.880135507246</v>
      </c>
      <c r="AC20" s="18">
        <f t="shared" si="28"/>
        <v>3283.4579000000085</v>
      </c>
      <c r="AD20" s="18">
        <f aca="true" t="shared" si="29" ref="AD20:AO20">AD9-AD13</f>
        <v>432.73849347826126</v>
      </c>
      <c r="AE20" s="18">
        <f t="shared" si="29"/>
        <v>434.5645014492761</v>
      </c>
      <c r="AF20" s="18">
        <f t="shared" si="29"/>
        <v>436.3905094202905</v>
      </c>
      <c r="AG20" s="18">
        <f t="shared" si="29"/>
        <v>438.21651739130493</v>
      </c>
      <c r="AH20" s="18">
        <f t="shared" si="29"/>
        <v>440.04252536231934</v>
      </c>
      <c r="AI20" s="18">
        <f t="shared" si="29"/>
        <v>441.86853333333374</v>
      </c>
      <c r="AJ20" s="18">
        <f t="shared" si="29"/>
        <v>443.6945413043486</v>
      </c>
      <c r="AK20" s="18">
        <f t="shared" si="29"/>
        <v>445.520549275363</v>
      </c>
      <c r="AL20" s="18">
        <f t="shared" si="29"/>
        <v>447.3465572463774</v>
      </c>
      <c r="AM20" s="18">
        <f t="shared" si="29"/>
        <v>449.1725652173918</v>
      </c>
      <c r="AN20" s="18">
        <f t="shared" si="29"/>
        <v>450.9985731884062</v>
      </c>
      <c r="AO20" s="18">
        <f t="shared" si="29"/>
        <v>452.8245811594211</v>
      </c>
      <c r="AP20" s="18">
        <f t="shared" si="28"/>
        <v>5313.378447826093</v>
      </c>
      <c r="AQ20" s="18">
        <f t="shared" si="28"/>
        <v>552.8158891304352</v>
      </c>
      <c r="AR20" s="18">
        <f t="shared" si="28"/>
        <v>554.6418971014496</v>
      </c>
      <c r="AS20" s="18">
        <f t="shared" si="28"/>
        <v>556.467905072464</v>
      </c>
      <c r="AT20" s="18">
        <f t="shared" si="28"/>
        <v>558.2939130434784</v>
      </c>
      <c r="AU20" s="18">
        <f t="shared" si="28"/>
        <v>560.1199210144932</v>
      </c>
      <c r="AV20" s="18">
        <f t="shared" si="28"/>
        <v>561.9459289855076</v>
      </c>
      <c r="AW20" s="18">
        <f t="shared" si="28"/>
        <v>563.771936956522</v>
      </c>
      <c r="AX20" s="18">
        <f t="shared" si="28"/>
        <v>565.5979449275364</v>
      </c>
      <c r="AY20" s="18">
        <f t="shared" si="28"/>
        <v>567.4239528985509</v>
      </c>
      <c r="AZ20" s="18">
        <f t="shared" si="28"/>
        <v>569.2499608695657</v>
      </c>
      <c r="BA20" s="18">
        <f t="shared" si="28"/>
        <v>571.0759688405801</v>
      </c>
      <c r="BB20" s="18">
        <f t="shared" si="28"/>
        <v>572.9019768115945</v>
      </c>
      <c r="BC20" s="18">
        <f aca="true" t="shared" si="30" ref="BC20:BO20">BC9-BC13</f>
        <v>6754.307195652182</v>
      </c>
      <c r="BD20" s="18">
        <f t="shared" si="30"/>
        <v>672.893284782609</v>
      </c>
      <c r="BE20" s="18">
        <f t="shared" si="30"/>
        <v>674.7192927536234</v>
      </c>
      <c r="BF20" s="18">
        <f t="shared" si="30"/>
        <v>676.5453007246379</v>
      </c>
      <c r="BG20" s="18">
        <f t="shared" si="30"/>
        <v>678.3713086956523</v>
      </c>
      <c r="BH20" s="18">
        <f t="shared" si="30"/>
        <v>680.1973166666667</v>
      </c>
      <c r="BI20" s="18">
        <f t="shared" si="30"/>
        <v>682.0233246376811</v>
      </c>
      <c r="BJ20" s="18">
        <f t="shared" si="30"/>
        <v>683.8493326086955</v>
      </c>
      <c r="BK20" s="18">
        <f t="shared" si="30"/>
        <v>685.6753405797108</v>
      </c>
      <c r="BL20" s="18">
        <f t="shared" si="30"/>
        <v>687.5013485507252</v>
      </c>
      <c r="BM20" s="18">
        <f t="shared" si="30"/>
        <v>689.3273565217396</v>
      </c>
      <c r="BN20" s="18">
        <f t="shared" si="30"/>
        <v>691.153364492754</v>
      </c>
      <c r="BO20" s="18">
        <f t="shared" si="30"/>
        <v>692.9793724637684</v>
      </c>
      <c r="BP20" s="18">
        <f t="shared" si="28"/>
        <v>8195.235943478263</v>
      </c>
      <c r="BQ20" s="18">
        <f t="shared" si="28"/>
        <v>792.9706804347834</v>
      </c>
      <c r="BR20" s="18">
        <f t="shared" si="28"/>
        <v>794.7966884057982</v>
      </c>
      <c r="BS20" s="18">
        <f t="shared" si="28"/>
        <v>796.6226963768127</v>
      </c>
      <c r="BT20" s="18">
        <f t="shared" si="28"/>
        <v>798.4487043478271</v>
      </c>
      <c r="BU20" s="18">
        <f t="shared" si="28"/>
        <v>800.2747123188415</v>
      </c>
      <c r="BV20" s="18">
        <f t="shared" si="28"/>
        <v>802.1007202898559</v>
      </c>
      <c r="BW20" s="18">
        <f t="shared" si="28"/>
        <v>803.9267282608707</v>
      </c>
      <c r="BX20" s="18">
        <f t="shared" si="28"/>
        <v>805.7527362318851</v>
      </c>
      <c r="BY20" s="18">
        <f t="shared" si="28"/>
        <v>807.5787442028995</v>
      </c>
      <c r="BZ20" s="18">
        <f t="shared" si="28"/>
        <v>809.404752173914</v>
      </c>
      <c r="CA20" s="18">
        <f t="shared" si="28"/>
        <v>811.2307601449284</v>
      </c>
      <c r="CB20" s="18">
        <f t="shared" si="28"/>
        <v>813.0567681159432</v>
      </c>
      <c r="CC20" s="18">
        <f t="shared" si="28"/>
        <v>9636.164691304351</v>
      </c>
      <c r="CD20" s="18">
        <f aca="true" t="shared" si="31" ref="CD20:CO20">CD9-CD13</f>
        <v>814.8827760869576</v>
      </c>
      <c r="CE20" s="18">
        <f t="shared" si="31"/>
        <v>816.708784057972</v>
      </c>
      <c r="CF20" s="18">
        <f t="shared" si="31"/>
        <v>818.5347920289864</v>
      </c>
      <c r="CG20" s="18">
        <f t="shared" si="31"/>
        <v>820.3608000000008</v>
      </c>
      <c r="CH20" s="18">
        <f t="shared" si="31"/>
        <v>820.3608000000008</v>
      </c>
      <c r="CI20" s="18">
        <f t="shared" si="31"/>
        <v>820.3608000000008</v>
      </c>
      <c r="CJ20" s="18">
        <f t="shared" si="31"/>
        <v>820.3608000000008</v>
      </c>
      <c r="CK20" s="18">
        <f t="shared" si="31"/>
        <v>820.3608000000008</v>
      </c>
      <c r="CL20" s="18">
        <f t="shared" si="31"/>
        <v>820.3608000000008</v>
      </c>
      <c r="CM20" s="18">
        <f t="shared" si="31"/>
        <v>820.3608000000008</v>
      </c>
      <c r="CN20" s="18">
        <f t="shared" si="31"/>
        <v>820.3608000000008</v>
      </c>
      <c r="CO20" s="18">
        <f t="shared" si="31"/>
        <v>820.3608000000008</v>
      </c>
      <c r="CP20" s="18">
        <f t="shared" si="28"/>
        <v>9833.373552173922</v>
      </c>
    </row>
    <row r="21" spans="1:94" s="21" customFormat="1" ht="12.75">
      <c r="A21" s="22" t="s">
        <v>20</v>
      </c>
      <c r="B21" s="23"/>
      <c r="C21" s="2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6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36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36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36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36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36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36"/>
    </row>
    <row r="22" spans="1:94" s="21" customFormat="1" ht="12.75">
      <c r="A22" s="26" t="s">
        <v>6</v>
      </c>
      <c r="B22" s="27"/>
      <c r="C22" s="2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2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2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2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2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2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27"/>
    </row>
    <row r="23" spans="1:94" s="21" customFormat="1" ht="12.75">
      <c r="A23" s="26" t="s">
        <v>7</v>
      </c>
      <c r="B23" s="27">
        <f>P23+AC23+AP23+BC23+BP23+CC23+CP23</f>
        <v>12309</v>
      </c>
      <c r="C23" s="27"/>
      <c r="D23" s="27">
        <f aca="true" t="shared" si="32" ref="D23:AC23">SUM(D24:D25)</f>
        <v>0</v>
      </c>
      <c r="E23" s="27">
        <f t="shared" si="32"/>
        <v>0</v>
      </c>
      <c r="F23" s="27">
        <f t="shared" si="32"/>
        <v>4427.5</v>
      </c>
      <c r="G23" s="27">
        <f t="shared" si="32"/>
        <v>7881.5</v>
      </c>
      <c r="H23" s="27">
        <f>SUM(H24:H25)</f>
        <v>0</v>
      </c>
      <c r="I23" s="27">
        <f t="shared" si="32"/>
        <v>0</v>
      </c>
      <c r="J23" s="27">
        <f t="shared" si="32"/>
        <v>0</v>
      </c>
      <c r="K23" s="27">
        <f t="shared" si="32"/>
        <v>0</v>
      </c>
      <c r="L23" s="27">
        <f t="shared" si="32"/>
        <v>0</v>
      </c>
      <c r="M23" s="27">
        <f t="shared" si="32"/>
        <v>0</v>
      </c>
      <c r="N23" s="27">
        <f t="shared" si="32"/>
        <v>0</v>
      </c>
      <c r="O23" s="27">
        <f t="shared" si="32"/>
        <v>0</v>
      </c>
      <c r="P23" s="27">
        <f t="shared" si="32"/>
        <v>12309</v>
      </c>
      <c r="Q23" s="27">
        <f t="shared" si="32"/>
        <v>0</v>
      </c>
      <c r="R23" s="27">
        <f t="shared" si="32"/>
        <v>0</v>
      </c>
      <c r="S23" s="27">
        <f t="shared" si="32"/>
        <v>0</v>
      </c>
      <c r="T23" s="27">
        <f t="shared" si="32"/>
        <v>0</v>
      </c>
      <c r="U23" s="27">
        <f t="shared" si="32"/>
        <v>0</v>
      </c>
      <c r="V23" s="27">
        <f t="shared" si="32"/>
        <v>0</v>
      </c>
      <c r="W23" s="27">
        <f t="shared" si="32"/>
        <v>0</v>
      </c>
      <c r="X23" s="27">
        <f t="shared" si="32"/>
        <v>0</v>
      </c>
      <c r="Y23" s="27">
        <f t="shared" si="32"/>
        <v>0</v>
      </c>
      <c r="Z23" s="27">
        <f t="shared" si="32"/>
        <v>0</v>
      </c>
      <c r="AA23" s="27">
        <f t="shared" si="32"/>
        <v>0</v>
      </c>
      <c r="AB23" s="27">
        <f t="shared" si="32"/>
        <v>0</v>
      </c>
      <c r="AC23" s="27">
        <f t="shared" si="32"/>
        <v>0</v>
      </c>
      <c r="AD23" s="27">
        <f aca="true" t="shared" si="33" ref="AD23:AO23">SUM(AD24:AD25)</f>
        <v>0</v>
      </c>
      <c r="AE23" s="27">
        <f t="shared" si="33"/>
        <v>0</v>
      </c>
      <c r="AF23" s="27">
        <f t="shared" si="33"/>
        <v>0</v>
      </c>
      <c r="AG23" s="27">
        <f t="shared" si="33"/>
        <v>0</v>
      </c>
      <c r="AH23" s="27">
        <f t="shared" si="33"/>
        <v>0</v>
      </c>
      <c r="AI23" s="27">
        <f t="shared" si="33"/>
        <v>0</v>
      </c>
      <c r="AJ23" s="27">
        <f t="shared" si="33"/>
        <v>0</v>
      </c>
      <c r="AK23" s="27">
        <f t="shared" si="33"/>
        <v>0</v>
      </c>
      <c r="AL23" s="27">
        <f t="shared" si="33"/>
        <v>0</v>
      </c>
      <c r="AM23" s="27">
        <f t="shared" si="33"/>
        <v>0</v>
      </c>
      <c r="AN23" s="27">
        <f t="shared" si="33"/>
        <v>0</v>
      </c>
      <c r="AO23" s="27">
        <f t="shared" si="33"/>
        <v>0</v>
      </c>
      <c r="AP23" s="27">
        <f>SUM(AP24:AP25)</f>
        <v>0</v>
      </c>
      <c r="AQ23" s="27">
        <f aca="true" t="shared" si="34" ref="AQ23:BB23">SUM(AQ24:AQ25)</f>
        <v>0</v>
      </c>
      <c r="AR23" s="27">
        <f t="shared" si="34"/>
        <v>0</v>
      </c>
      <c r="AS23" s="27">
        <f t="shared" si="34"/>
        <v>0</v>
      </c>
      <c r="AT23" s="27">
        <f t="shared" si="34"/>
        <v>0</v>
      </c>
      <c r="AU23" s="27">
        <f t="shared" si="34"/>
        <v>0</v>
      </c>
      <c r="AV23" s="27">
        <f t="shared" si="34"/>
        <v>0</v>
      </c>
      <c r="AW23" s="27">
        <f t="shared" si="34"/>
        <v>0</v>
      </c>
      <c r="AX23" s="27">
        <f t="shared" si="34"/>
        <v>0</v>
      </c>
      <c r="AY23" s="27">
        <f t="shared" si="34"/>
        <v>0</v>
      </c>
      <c r="AZ23" s="27">
        <f t="shared" si="34"/>
        <v>0</v>
      </c>
      <c r="BA23" s="27">
        <f t="shared" si="34"/>
        <v>0</v>
      </c>
      <c r="BB23" s="27">
        <f t="shared" si="34"/>
        <v>0</v>
      </c>
      <c r="BC23" s="27">
        <f>SUM(BC24:BC25)</f>
        <v>0</v>
      </c>
      <c r="BD23" s="27">
        <f aca="true" t="shared" si="35" ref="BD23:BO23">SUM(BD24:BD25)</f>
        <v>0</v>
      </c>
      <c r="BE23" s="27">
        <f t="shared" si="35"/>
        <v>0</v>
      </c>
      <c r="BF23" s="27">
        <f t="shared" si="35"/>
        <v>0</v>
      </c>
      <c r="BG23" s="27">
        <f t="shared" si="35"/>
        <v>0</v>
      </c>
      <c r="BH23" s="27">
        <f t="shared" si="35"/>
        <v>0</v>
      </c>
      <c r="BI23" s="27">
        <f t="shared" si="35"/>
        <v>0</v>
      </c>
      <c r="BJ23" s="27">
        <f t="shared" si="35"/>
        <v>0</v>
      </c>
      <c r="BK23" s="27">
        <f t="shared" si="35"/>
        <v>0</v>
      </c>
      <c r="BL23" s="27">
        <f t="shared" si="35"/>
        <v>0</v>
      </c>
      <c r="BM23" s="27">
        <f t="shared" si="35"/>
        <v>0</v>
      </c>
      <c r="BN23" s="27">
        <f t="shared" si="35"/>
        <v>0</v>
      </c>
      <c r="BO23" s="27">
        <f t="shared" si="35"/>
        <v>0</v>
      </c>
      <c r="BP23" s="27">
        <f>SUM(BP24:BP25)</f>
        <v>0</v>
      </c>
      <c r="BQ23" s="27">
        <f aca="true" t="shared" si="36" ref="BQ23:CB23">SUM(BQ24:BQ25)</f>
        <v>0</v>
      </c>
      <c r="BR23" s="27">
        <f t="shared" si="36"/>
        <v>0</v>
      </c>
      <c r="BS23" s="27">
        <f t="shared" si="36"/>
        <v>0</v>
      </c>
      <c r="BT23" s="27">
        <f t="shared" si="36"/>
        <v>0</v>
      </c>
      <c r="BU23" s="27">
        <f t="shared" si="36"/>
        <v>0</v>
      </c>
      <c r="BV23" s="27">
        <f t="shared" si="36"/>
        <v>0</v>
      </c>
      <c r="BW23" s="27">
        <f t="shared" si="36"/>
        <v>0</v>
      </c>
      <c r="BX23" s="27">
        <f t="shared" si="36"/>
        <v>0</v>
      </c>
      <c r="BY23" s="27">
        <f t="shared" si="36"/>
        <v>0</v>
      </c>
      <c r="BZ23" s="27">
        <f t="shared" si="36"/>
        <v>0</v>
      </c>
      <c r="CA23" s="27">
        <f t="shared" si="36"/>
        <v>0</v>
      </c>
      <c r="CB23" s="27">
        <f t="shared" si="36"/>
        <v>0</v>
      </c>
      <c r="CC23" s="27">
        <f>SUM(CC24:CC25)</f>
        <v>0</v>
      </c>
      <c r="CD23" s="27">
        <f aca="true" t="shared" si="37" ref="CD23:CO23">SUM(CD24:CD25)</f>
        <v>0</v>
      </c>
      <c r="CE23" s="27">
        <f t="shared" si="37"/>
        <v>0</v>
      </c>
      <c r="CF23" s="27">
        <f t="shared" si="37"/>
        <v>0</v>
      </c>
      <c r="CG23" s="27">
        <f t="shared" si="37"/>
        <v>0</v>
      </c>
      <c r="CH23" s="27">
        <f t="shared" si="37"/>
        <v>0</v>
      </c>
      <c r="CI23" s="27">
        <f t="shared" si="37"/>
        <v>0</v>
      </c>
      <c r="CJ23" s="27">
        <f t="shared" si="37"/>
        <v>0</v>
      </c>
      <c r="CK23" s="27">
        <f t="shared" si="37"/>
        <v>0</v>
      </c>
      <c r="CL23" s="27">
        <f t="shared" si="37"/>
        <v>0</v>
      </c>
      <c r="CM23" s="27">
        <f t="shared" si="37"/>
        <v>0</v>
      </c>
      <c r="CN23" s="27">
        <f t="shared" si="37"/>
        <v>0</v>
      </c>
      <c r="CO23" s="27">
        <f t="shared" si="37"/>
        <v>0</v>
      </c>
      <c r="CP23" s="27">
        <f>SUM(CP24:CP25)</f>
        <v>0</v>
      </c>
    </row>
    <row r="24" spans="1:94" ht="12.75">
      <c r="A24" s="38" t="s">
        <v>21</v>
      </c>
      <c r="B24" s="27">
        <f>P24+AC24+AP24+BC24+BP24+CC24+CP24</f>
        <v>12309</v>
      </c>
      <c r="C24" s="27"/>
      <c r="D24" s="29">
        <f>Инв!E17</f>
        <v>0</v>
      </c>
      <c r="E24" s="29">
        <f>Инв!F17</f>
        <v>0</v>
      </c>
      <c r="F24" s="29">
        <f>Инв!G17</f>
        <v>4427.5</v>
      </c>
      <c r="G24" s="29">
        <f>Инв!H17</f>
        <v>7881.5</v>
      </c>
      <c r="H24" s="29">
        <f>Инв!I17</f>
        <v>0</v>
      </c>
      <c r="I24" s="29">
        <f>Инв!J17</f>
        <v>0</v>
      </c>
      <c r="J24" s="29">
        <f>Инв!K17</f>
        <v>0</v>
      </c>
      <c r="K24" s="29"/>
      <c r="L24" s="29">
        <f>Инв!M17</f>
        <v>0</v>
      </c>
      <c r="M24" s="29">
        <f>Инв!N17</f>
        <v>0</v>
      </c>
      <c r="N24" s="29">
        <f>Инв!O17</f>
        <v>0</v>
      </c>
      <c r="O24" s="29">
        <f>Инв!P17</f>
        <v>0</v>
      </c>
      <c r="P24" s="27">
        <f>SUM(D24:O24)</f>
        <v>12309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7">
        <f>SUM(Q24:AB24)</f>
        <v>0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7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7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7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7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7"/>
    </row>
    <row r="25" spans="1:94" ht="12.75" hidden="1" outlineLevel="1">
      <c r="A25" s="38"/>
      <c r="B25" s="27"/>
      <c r="C25" s="2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7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7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7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7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7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7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7"/>
    </row>
    <row r="26" spans="1:94" s="21" customFormat="1" ht="25.5" collapsed="1">
      <c r="A26" s="39" t="s">
        <v>22</v>
      </c>
      <c r="B26" s="18">
        <f>B22-B23</f>
        <v>-12309</v>
      </c>
      <c r="C26" s="18"/>
      <c r="D26" s="18">
        <f>D22-D23</f>
        <v>0</v>
      </c>
      <c r="E26" s="18">
        <f aca="true" t="shared" si="38" ref="E26:O26">E22-E23</f>
        <v>0</v>
      </c>
      <c r="F26" s="18">
        <f t="shared" si="38"/>
        <v>-4427.5</v>
      </c>
      <c r="G26" s="18">
        <f t="shared" si="38"/>
        <v>-7881.5</v>
      </c>
      <c r="H26" s="18">
        <f t="shared" si="38"/>
        <v>0</v>
      </c>
      <c r="I26" s="18">
        <f t="shared" si="38"/>
        <v>0</v>
      </c>
      <c r="J26" s="18">
        <f>J22-J23</f>
        <v>0</v>
      </c>
      <c r="K26" s="18">
        <f t="shared" si="38"/>
        <v>0</v>
      </c>
      <c r="L26" s="18">
        <f t="shared" si="38"/>
        <v>0</v>
      </c>
      <c r="M26" s="18">
        <f t="shared" si="38"/>
        <v>0</v>
      </c>
      <c r="N26" s="18">
        <f t="shared" si="38"/>
        <v>0</v>
      </c>
      <c r="O26" s="18">
        <f t="shared" si="38"/>
        <v>0</v>
      </c>
      <c r="P26" s="18">
        <f>SUM(D26:O26)</f>
        <v>-12309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</row>
    <row r="27" spans="1:94" s="43" customFormat="1" ht="12.75">
      <c r="A27" s="40" t="s">
        <v>23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2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2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2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2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2"/>
    </row>
    <row r="28" spans="1:94" s="21" customFormat="1" ht="12.75">
      <c r="A28" s="22" t="s">
        <v>24</v>
      </c>
      <c r="B28" s="23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6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36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36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36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36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36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36"/>
    </row>
    <row r="29" spans="1:94" s="21" customFormat="1" ht="12.75">
      <c r="A29" s="26" t="s">
        <v>6</v>
      </c>
      <c r="B29" s="27">
        <f>SUM(B30:B31)</f>
        <v>16167.7997</v>
      </c>
      <c r="C29" s="27"/>
      <c r="D29" s="27">
        <f>SUM(D30:D31)</f>
        <v>0</v>
      </c>
      <c r="E29" s="27">
        <f aca="true" t="shared" si="39" ref="E29:O29">SUM(E30:E31)</f>
        <v>0</v>
      </c>
      <c r="F29" s="27">
        <f t="shared" si="39"/>
        <v>4427.5</v>
      </c>
      <c r="G29" s="27">
        <f t="shared" si="39"/>
        <v>9920.2997</v>
      </c>
      <c r="H29" s="27">
        <f t="shared" si="39"/>
        <v>1820</v>
      </c>
      <c r="I29" s="27">
        <f t="shared" si="39"/>
        <v>0</v>
      </c>
      <c r="J29" s="27">
        <f t="shared" si="39"/>
        <v>0</v>
      </c>
      <c r="K29" s="27">
        <f t="shared" si="39"/>
        <v>0</v>
      </c>
      <c r="L29" s="27">
        <f t="shared" si="39"/>
        <v>0</v>
      </c>
      <c r="M29" s="27">
        <f t="shared" si="39"/>
        <v>0</v>
      </c>
      <c r="N29" s="27">
        <f t="shared" si="39"/>
        <v>0</v>
      </c>
      <c r="O29" s="27">
        <f t="shared" si="39"/>
        <v>0</v>
      </c>
      <c r="P29" s="27">
        <f aca="true" t="shared" si="40" ref="P29:BB29">SUM(P30:P31)</f>
        <v>16167.7997</v>
      </c>
      <c r="Q29" s="27">
        <f t="shared" si="40"/>
        <v>0</v>
      </c>
      <c r="R29" s="27">
        <f t="shared" si="40"/>
        <v>0</v>
      </c>
      <c r="S29" s="27">
        <f t="shared" si="40"/>
        <v>0</v>
      </c>
      <c r="T29" s="27">
        <f t="shared" si="40"/>
        <v>0</v>
      </c>
      <c r="U29" s="27">
        <f t="shared" si="40"/>
        <v>0</v>
      </c>
      <c r="V29" s="27">
        <f t="shared" si="40"/>
        <v>0</v>
      </c>
      <c r="W29" s="27">
        <f t="shared" si="40"/>
        <v>0</v>
      </c>
      <c r="X29" s="27">
        <f t="shared" si="40"/>
        <v>0</v>
      </c>
      <c r="Y29" s="27">
        <f t="shared" si="40"/>
        <v>0</v>
      </c>
      <c r="Z29" s="27">
        <f t="shared" si="40"/>
        <v>0</v>
      </c>
      <c r="AA29" s="27">
        <f t="shared" si="40"/>
        <v>0</v>
      </c>
      <c r="AB29" s="27">
        <f t="shared" si="40"/>
        <v>0</v>
      </c>
      <c r="AC29" s="27">
        <f t="shared" si="40"/>
        <v>0</v>
      </c>
      <c r="AD29" s="27">
        <f aca="true" t="shared" si="41" ref="AD29:AO29">SUM(AD30:AD31)</f>
        <v>0</v>
      </c>
      <c r="AE29" s="27">
        <f t="shared" si="41"/>
        <v>0</v>
      </c>
      <c r="AF29" s="27">
        <f t="shared" si="41"/>
        <v>0</v>
      </c>
      <c r="AG29" s="27">
        <f t="shared" si="41"/>
        <v>0</v>
      </c>
      <c r="AH29" s="27">
        <f t="shared" si="41"/>
        <v>0</v>
      </c>
      <c r="AI29" s="27">
        <f t="shared" si="41"/>
        <v>0</v>
      </c>
      <c r="AJ29" s="27">
        <f t="shared" si="41"/>
        <v>0</v>
      </c>
      <c r="AK29" s="27">
        <f t="shared" si="41"/>
        <v>0</v>
      </c>
      <c r="AL29" s="27">
        <f t="shared" si="41"/>
        <v>0</v>
      </c>
      <c r="AM29" s="27">
        <f t="shared" si="41"/>
        <v>0</v>
      </c>
      <c r="AN29" s="27">
        <f t="shared" si="41"/>
        <v>0</v>
      </c>
      <c r="AO29" s="27">
        <f t="shared" si="41"/>
        <v>0</v>
      </c>
      <c r="AP29" s="27">
        <f t="shared" si="40"/>
        <v>0</v>
      </c>
      <c r="AQ29" s="27">
        <f t="shared" si="40"/>
        <v>0</v>
      </c>
      <c r="AR29" s="27">
        <f t="shared" si="40"/>
        <v>0</v>
      </c>
      <c r="AS29" s="27">
        <f t="shared" si="40"/>
        <v>0</v>
      </c>
      <c r="AT29" s="27">
        <f t="shared" si="40"/>
        <v>0</v>
      </c>
      <c r="AU29" s="27">
        <f t="shared" si="40"/>
        <v>0</v>
      </c>
      <c r="AV29" s="27">
        <f t="shared" si="40"/>
        <v>0</v>
      </c>
      <c r="AW29" s="27">
        <f t="shared" si="40"/>
        <v>0</v>
      </c>
      <c r="AX29" s="27">
        <f t="shared" si="40"/>
        <v>0</v>
      </c>
      <c r="AY29" s="27">
        <f t="shared" si="40"/>
        <v>0</v>
      </c>
      <c r="AZ29" s="27">
        <f t="shared" si="40"/>
        <v>0</v>
      </c>
      <c r="BA29" s="27">
        <f t="shared" si="40"/>
        <v>0</v>
      </c>
      <c r="BB29" s="27">
        <f t="shared" si="40"/>
        <v>0</v>
      </c>
      <c r="BC29" s="27">
        <f aca="true" t="shared" si="42" ref="BC29:BO29">SUM(BC30:BC31)</f>
        <v>0</v>
      </c>
      <c r="BD29" s="27">
        <f t="shared" si="42"/>
        <v>0</v>
      </c>
      <c r="BE29" s="27">
        <f t="shared" si="42"/>
        <v>0</v>
      </c>
      <c r="BF29" s="27">
        <f t="shared" si="42"/>
        <v>0</v>
      </c>
      <c r="BG29" s="27">
        <f t="shared" si="42"/>
        <v>0</v>
      </c>
      <c r="BH29" s="27">
        <f t="shared" si="42"/>
        <v>0</v>
      </c>
      <c r="BI29" s="27">
        <f t="shared" si="42"/>
        <v>0</v>
      </c>
      <c r="BJ29" s="27">
        <f t="shared" si="42"/>
        <v>0</v>
      </c>
      <c r="BK29" s="27">
        <f t="shared" si="42"/>
        <v>0</v>
      </c>
      <c r="BL29" s="27">
        <f t="shared" si="42"/>
        <v>0</v>
      </c>
      <c r="BM29" s="27">
        <f t="shared" si="42"/>
        <v>0</v>
      </c>
      <c r="BN29" s="27">
        <f t="shared" si="42"/>
        <v>0</v>
      </c>
      <c r="BO29" s="27">
        <f t="shared" si="42"/>
        <v>0</v>
      </c>
      <c r="BP29" s="27">
        <f>SUM(BP30:BP31)</f>
        <v>0</v>
      </c>
      <c r="BQ29" s="27">
        <f aca="true" t="shared" si="43" ref="BQ29:CB29">SUM(BQ30:BQ31)</f>
        <v>0</v>
      </c>
      <c r="BR29" s="27">
        <f t="shared" si="43"/>
        <v>0</v>
      </c>
      <c r="BS29" s="27">
        <f t="shared" si="43"/>
        <v>0</v>
      </c>
      <c r="BT29" s="27">
        <f t="shared" si="43"/>
        <v>0</v>
      </c>
      <c r="BU29" s="27">
        <f t="shared" si="43"/>
        <v>0</v>
      </c>
      <c r="BV29" s="27">
        <f t="shared" si="43"/>
        <v>0</v>
      </c>
      <c r="BW29" s="27">
        <f t="shared" si="43"/>
        <v>0</v>
      </c>
      <c r="BX29" s="27">
        <f t="shared" si="43"/>
        <v>0</v>
      </c>
      <c r="BY29" s="27">
        <f t="shared" si="43"/>
        <v>0</v>
      </c>
      <c r="BZ29" s="27">
        <f t="shared" si="43"/>
        <v>0</v>
      </c>
      <c r="CA29" s="27">
        <f t="shared" si="43"/>
        <v>0</v>
      </c>
      <c r="CB29" s="27">
        <f t="shared" si="43"/>
        <v>0</v>
      </c>
      <c r="CC29" s="27">
        <f>SUM(CC30:CC31)</f>
        <v>0</v>
      </c>
      <c r="CD29" s="27">
        <f aca="true" t="shared" si="44" ref="CD29:CO29">SUM(CD30:CD31)</f>
        <v>0</v>
      </c>
      <c r="CE29" s="27">
        <f t="shared" si="44"/>
        <v>0</v>
      </c>
      <c r="CF29" s="27">
        <f t="shared" si="44"/>
        <v>0</v>
      </c>
      <c r="CG29" s="27">
        <f t="shared" si="44"/>
        <v>0</v>
      </c>
      <c r="CH29" s="27">
        <f t="shared" si="44"/>
        <v>0</v>
      </c>
      <c r="CI29" s="27">
        <f t="shared" si="44"/>
        <v>0</v>
      </c>
      <c r="CJ29" s="27">
        <f t="shared" si="44"/>
        <v>0</v>
      </c>
      <c r="CK29" s="27">
        <f t="shared" si="44"/>
        <v>0</v>
      </c>
      <c r="CL29" s="27">
        <f t="shared" si="44"/>
        <v>0</v>
      </c>
      <c r="CM29" s="27">
        <f t="shared" si="44"/>
        <v>0</v>
      </c>
      <c r="CN29" s="27">
        <f t="shared" si="44"/>
        <v>0</v>
      </c>
      <c r="CO29" s="27">
        <f t="shared" si="44"/>
        <v>0</v>
      </c>
      <c r="CP29" s="27">
        <f>SUM(CP30:CP31)</f>
        <v>0</v>
      </c>
    </row>
    <row r="30" spans="1:94" ht="12.75" customHeight="1">
      <c r="A30" s="38" t="s">
        <v>56</v>
      </c>
      <c r="B30" s="27">
        <f>P30+AC30+AP30+BC30+BP30+CC30+CP30</f>
        <v>3858.7997</v>
      </c>
      <c r="C30" s="27"/>
      <c r="D30" s="29"/>
      <c r="E30" s="29"/>
      <c r="F30" s="29">
        <f>-F20</f>
        <v>0</v>
      </c>
      <c r="G30" s="29">
        <f>-G20</f>
        <v>2038.7997</v>
      </c>
      <c r="H30" s="33">
        <v>1820</v>
      </c>
      <c r="I30" s="29"/>
      <c r="J30" s="29"/>
      <c r="K30" s="29"/>
      <c r="L30" s="29"/>
      <c r="M30" s="29"/>
      <c r="N30" s="29"/>
      <c r="O30" s="29"/>
      <c r="P30" s="27">
        <f>SUM(D30:O30)</f>
        <v>3858.7997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7">
        <f>SUM(Q30:AB30)</f>
        <v>0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7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7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7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7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7"/>
    </row>
    <row r="31" spans="1:94" ht="12.75">
      <c r="A31" s="44" t="s">
        <v>172</v>
      </c>
      <c r="B31" s="27">
        <f>P31+AC31+AP31+BC31+BP31+CC31+CP31</f>
        <v>12309</v>
      </c>
      <c r="C31" s="27"/>
      <c r="D31" s="45"/>
      <c r="E31" s="45"/>
      <c r="F31" s="45">
        <f>F23</f>
        <v>4427.5</v>
      </c>
      <c r="G31" s="45">
        <f>G23</f>
        <v>7881.5</v>
      </c>
      <c r="H31" s="45"/>
      <c r="I31" s="45"/>
      <c r="J31" s="45"/>
      <c r="K31" s="45"/>
      <c r="L31" s="45"/>
      <c r="M31" s="45"/>
      <c r="N31" s="45"/>
      <c r="O31" s="45"/>
      <c r="P31" s="27">
        <f>SUM(D31:O31)</f>
        <v>12309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27">
        <f>SUM(Q31:AB31)</f>
        <v>0</v>
      </c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27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27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27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27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27"/>
    </row>
    <row r="32" spans="1:94" s="21" customFormat="1" ht="12.75">
      <c r="A32" s="26" t="s">
        <v>7</v>
      </c>
      <c r="B32" s="27">
        <f>SUM(B33:B34)</f>
        <v>12599.454999999994</v>
      </c>
      <c r="C32" s="27"/>
      <c r="D32" s="27">
        <f>SUM(D33:D34)</f>
        <v>0</v>
      </c>
      <c r="E32" s="27">
        <f aca="true" t="shared" si="45" ref="E32:CC32">SUM(E33:E34)</f>
        <v>0</v>
      </c>
      <c r="F32" s="27">
        <f t="shared" si="45"/>
        <v>0</v>
      </c>
      <c r="G32" s="27">
        <f t="shared" si="45"/>
        <v>0</v>
      </c>
      <c r="H32" s="27">
        <f t="shared" si="45"/>
        <v>0</v>
      </c>
      <c r="I32" s="27">
        <f>SUM(I33:I34)</f>
        <v>0</v>
      </c>
      <c r="J32" s="27">
        <f t="shared" si="45"/>
        <v>182.60079710144927</v>
      </c>
      <c r="K32" s="27">
        <f t="shared" si="45"/>
        <v>182.60079710144927</v>
      </c>
      <c r="L32" s="27">
        <f t="shared" si="45"/>
        <v>182.60079710144927</v>
      </c>
      <c r="M32" s="27">
        <f t="shared" si="45"/>
        <v>182.60079710144927</v>
      </c>
      <c r="N32" s="27">
        <f t="shared" si="45"/>
        <v>182.60079710144927</v>
      </c>
      <c r="O32" s="27">
        <f t="shared" si="45"/>
        <v>182.60079710144927</v>
      </c>
      <c r="P32" s="27">
        <f t="shared" si="45"/>
        <v>1095.6047826086956</v>
      </c>
      <c r="Q32" s="27">
        <f t="shared" si="45"/>
        <v>182.60079710144927</v>
      </c>
      <c r="R32" s="27">
        <f t="shared" si="45"/>
        <v>182.60079710144927</v>
      </c>
      <c r="S32" s="27">
        <f t="shared" si="45"/>
        <v>182.60079710144927</v>
      </c>
      <c r="T32" s="27">
        <f t="shared" si="45"/>
        <v>182.60079710144927</v>
      </c>
      <c r="U32" s="27">
        <f t="shared" si="45"/>
        <v>182.60079710144927</v>
      </c>
      <c r="V32" s="27">
        <f t="shared" si="45"/>
        <v>182.60079710144927</v>
      </c>
      <c r="W32" s="27">
        <f t="shared" si="45"/>
        <v>182.60079710144927</v>
      </c>
      <c r="X32" s="27">
        <f t="shared" si="45"/>
        <v>182.60079710144927</v>
      </c>
      <c r="Y32" s="27">
        <f t="shared" si="45"/>
        <v>182.60079710144927</v>
      </c>
      <c r="Z32" s="27">
        <f t="shared" si="45"/>
        <v>182.60079710144927</v>
      </c>
      <c r="AA32" s="27">
        <f t="shared" si="45"/>
        <v>182.60079710144927</v>
      </c>
      <c r="AB32" s="27">
        <f t="shared" si="45"/>
        <v>182.60079710144927</v>
      </c>
      <c r="AC32" s="27">
        <f t="shared" si="45"/>
        <v>2191.2095652173907</v>
      </c>
      <c r="AD32" s="27">
        <f aca="true" t="shared" si="46" ref="AD32:AO32">SUM(AD33:AD34)</f>
        <v>182.60079710144927</v>
      </c>
      <c r="AE32" s="27">
        <f t="shared" si="46"/>
        <v>182.60079710144927</v>
      </c>
      <c r="AF32" s="27">
        <f t="shared" si="46"/>
        <v>182.60079710144927</v>
      </c>
      <c r="AG32" s="27">
        <f t="shared" si="46"/>
        <v>182.60079710144927</v>
      </c>
      <c r="AH32" s="27">
        <f t="shared" si="46"/>
        <v>182.60079710144927</v>
      </c>
      <c r="AI32" s="27">
        <f t="shared" si="46"/>
        <v>182.60079710144927</v>
      </c>
      <c r="AJ32" s="27">
        <f t="shared" si="46"/>
        <v>182.60079710144927</v>
      </c>
      <c r="AK32" s="27">
        <f t="shared" si="46"/>
        <v>182.60079710144927</v>
      </c>
      <c r="AL32" s="27">
        <f t="shared" si="46"/>
        <v>182.60079710144927</v>
      </c>
      <c r="AM32" s="27">
        <f t="shared" si="46"/>
        <v>182.60079710144927</v>
      </c>
      <c r="AN32" s="27">
        <f t="shared" si="46"/>
        <v>182.60079710144927</v>
      </c>
      <c r="AO32" s="27">
        <f t="shared" si="46"/>
        <v>182.60079710144927</v>
      </c>
      <c r="AP32" s="27">
        <f t="shared" si="45"/>
        <v>2191.2095652173907</v>
      </c>
      <c r="AQ32" s="27">
        <f t="shared" si="45"/>
        <v>182.60079710144927</v>
      </c>
      <c r="AR32" s="27">
        <f t="shared" si="45"/>
        <v>182.60079710144927</v>
      </c>
      <c r="AS32" s="27">
        <f t="shared" si="45"/>
        <v>182.60079710144927</v>
      </c>
      <c r="AT32" s="27">
        <f t="shared" si="45"/>
        <v>182.60079710144927</v>
      </c>
      <c r="AU32" s="27">
        <f t="shared" si="45"/>
        <v>182.60079710144927</v>
      </c>
      <c r="AV32" s="27">
        <f t="shared" si="45"/>
        <v>182.60079710144927</v>
      </c>
      <c r="AW32" s="27">
        <f t="shared" si="45"/>
        <v>182.60079710144927</v>
      </c>
      <c r="AX32" s="27">
        <f t="shared" si="45"/>
        <v>182.60079710144927</v>
      </c>
      <c r="AY32" s="27">
        <f t="shared" si="45"/>
        <v>182.60079710144927</v>
      </c>
      <c r="AZ32" s="27">
        <f t="shared" si="45"/>
        <v>182.60079710144927</v>
      </c>
      <c r="BA32" s="27">
        <f t="shared" si="45"/>
        <v>182.60079710144927</v>
      </c>
      <c r="BB32" s="27">
        <f t="shared" si="45"/>
        <v>182.60079710144927</v>
      </c>
      <c r="BC32" s="27">
        <f aca="true" t="shared" si="47" ref="BC32:BO32">SUM(BC33:BC34)</f>
        <v>2191.2095652173907</v>
      </c>
      <c r="BD32" s="27">
        <f t="shared" si="47"/>
        <v>182.60079710144927</v>
      </c>
      <c r="BE32" s="27">
        <f t="shared" si="47"/>
        <v>182.60079710144927</v>
      </c>
      <c r="BF32" s="27">
        <f t="shared" si="47"/>
        <v>182.60079710144927</v>
      </c>
      <c r="BG32" s="27">
        <f t="shared" si="47"/>
        <v>182.60079710144927</v>
      </c>
      <c r="BH32" s="27">
        <f t="shared" si="47"/>
        <v>182.60079710144927</v>
      </c>
      <c r="BI32" s="27">
        <f t="shared" si="47"/>
        <v>182.60079710144927</v>
      </c>
      <c r="BJ32" s="27">
        <f t="shared" si="47"/>
        <v>182.60079710144927</v>
      </c>
      <c r="BK32" s="27">
        <f t="shared" si="47"/>
        <v>182.60079710144927</v>
      </c>
      <c r="BL32" s="27">
        <f t="shared" si="47"/>
        <v>182.60079710144927</v>
      </c>
      <c r="BM32" s="27">
        <f t="shared" si="47"/>
        <v>182.60079710144927</v>
      </c>
      <c r="BN32" s="27">
        <f t="shared" si="47"/>
        <v>182.60079710144927</v>
      </c>
      <c r="BO32" s="27">
        <f t="shared" si="47"/>
        <v>182.60079710144927</v>
      </c>
      <c r="BP32" s="27">
        <f t="shared" si="45"/>
        <v>2191.2095652173907</v>
      </c>
      <c r="BQ32" s="27">
        <f t="shared" si="45"/>
        <v>182.60079710144927</v>
      </c>
      <c r="BR32" s="27">
        <f t="shared" si="45"/>
        <v>182.60079710144927</v>
      </c>
      <c r="BS32" s="27">
        <f t="shared" si="45"/>
        <v>182.60079710144927</v>
      </c>
      <c r="BT32" s="27">
        <f t="shared" si="45"/>
        <v>182.60079710144927</v>
      </c>
      <c r="BU32" s="27">
        <f t="shared" si="45"/>
        <v>182.60079710144927</v>
      </c>
      <c r="BV32" s="27">
        <f t="shared" si="45"/>
        <v>182.60079710144927</v>
      </c>
      <c r="BW32" s="27">
        <f t="shared" si="45"/>
        <v>182.60079710144927</v>
      </c>
      <c r="BX32" s="27">
        <f t="shared" si="45"/>
        <v>182.60079710144927</v>
      </c>
      <c r="BY32" s="27">
        <f t="shared" si="45"/>
        <v>182.60079710144927</v>
      </c>
      <c r="BZ32" s="27">
        <f t="shared" si="45"/>
        <v>182.60079710144927</v>
      </c>
      <c r="CA32" s="27">
        <f t="shared" si="45"/>
        <v>182.60079710144927</v>
      </c>
      <c r="CB32" s="27">
        <f t="shared" si="45"/>
        <v>182.60079710144927</v>
      </c>
      <c r="CC32" s="27">
        <f t="shared" si="45"/>
        <v>2191.2095652173907</v>
      </c>
      <c r="CD32" s="27">
        <f aca="true" t="shared" si="48" ref="CD32:CO32">SUM(CD33:CD34)</f>
        <v>182.60079710144927</v>
      </c>
      <c r="CE32" s="27">
        <f t="shared" si="48"/>
        <v>182.60079710144927</v>
      </c>
      <c r="CF32" s="27">
        <f t="shared" si="48"/>
        <v>182.60079710144927</v>
      </c>
      <c r="CG32" s="27">
        <f t="shared" si="48"/>
        <v>0</v>
      </c>
      <c r="CH32" s="27">
        <f t="shared" si="48"/>
        <v>0</v>
      </c>
      <c r="CI32" s="27">
        <f t="shared" si="48"/>
        <v>0</v>
      </c>
      <c r="CJ32" s="27">
        <f t="shared" si="48"/>
        <v>0</v>
      </c>
      <c r="CK32" s="27">
        <f t="shared" si="48"/>
        <v>0</v>
      </c>
      <c r="CL32" s="27">
        <f t="shared" si="48"/>
        <v>0</v>
      </c>
      <c r="CM32" s="27">
        <f t="shared" si="48"/>
        <v>0</v>
      </c>
      <c r="CN32" s="27">
        <f t="shared" si="48"/>
        <v>0</v>
      </c>
      <c r="CO32" s="27">
        <f t="shared" si="48"/>
        <v>0</v>
      </c>
      <c r="CP32" s="27">
        <f>SUM(CP33:CP34)</f>
        <v>547.8023913043478</v>
      </c>
    </row>
    <row r="33" spans="1:94" ht="12.75">
      <c r="A33" s="28" t="s">
        <v>33</v>
      </c>
      <c r="B33" s="27">
        <f>P33+AC33+AP33+BC33+BP33+CC33+CP33</f>
        <v>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7">
        <f>SUM(D33:O33)</f>
        <v>0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27">
        <f>SUM(Q33:AB33)</f>
        <v>0</v>
      </c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27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27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27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27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27"/>
    </row>
    <row r="34" spans="1:94" ht="13.5" customHeight="1">
      <c r="A34" s="38" t="s">
        <v>171</v>
      </c>
      <c r="B34" s="27">
        <f>P34+AC34+AP34+BC34+BP34+CC34+CP34</f>
        <v>12599.454999999994</v>
      </c>
      <c r="C34" s="27"/>
      <c r="D34" s="34">
        <f>кр!C10</f>
        <v>0</v>
      </c>
      <c r="E34" s="34">
        <f>кр!D10</f>
        <v>0</v>
      </c>
      <c r="F34" s="34">
        <f>кр!E10</f>
        <v>0</v>
      </c>
      <c r="G34" s="34">
        <f>кр!F10</f>
        <v>0</v>
      </c>
      <c r="H34" s="34">
        <f>кр!G10</f>
        <v>0</v>
      </c>
      <c r="I34" s="34">
        <f>кр!H10</f>
        <v>0</v>
      </c>
      <c r="J34" s="34">
        <f>кр!I10</f>
        <v>182.60079710144927</v>
      </c>
      <c r="K34" s="34">
        <f>кр!J10</f>
        <v>182.60079710144927</v>
      </c>
      <c r="L34" s="34">
        <f>кр!K10</f>
        <v>182.60079710144927</v>
      </c>
      <c r="M34" s="34">
        <f>кр!L10</f>
        <v>182.60079710144927</v>
      </c>
      <c r="N34" s="34">
        <f>кр!M10</f>
        <v>182.60079710144927</v>
      </c>
      <c r="O34" s="34">
        <f>кр!N10</f>
        <v>182.60079710144927</v>
      </c>
      <c r="P34" s="27">
        <f>SUM(D34:O34)</f>
        <v>1095.6047826086956</v>
      </c>
      <c r="Q34" s="34">
        <f>кр!P10</f>
        <v>182.60079710144927</v>
      </c>
      <c r="R34" s="34">
        <f>кр!Q10</f>
        <v>182.60079710144927</v>
      </c>
      <c r="S34" s="34">
        <f>кр!R10</f>
        <v>182.60079710144927</v>
      </c>
      <c r="T34" s="34">
        <f>кр!S10</f>
        <v>182.60079710144927</v>
      </c>
      <c r="U34" s="34">
        <f>кр!T10</f>
        <v>182.60079710144927</v>
      </c>
      <c r="V34" s="34">
        <f>кр!U10</f>
        <v>182.60079710144927</v>
      </c>
      <c r="W34" s="34">
        <f>кр!V10</f>
        <v>182.60079710144927</v>
      </c>
      <c r="X34" s="34">
        <f>кр!W10</f>
        <v>182.60079710144927</v>
      </c>
      <c r="Y34" s="34">
        <f>кр!X10</f>
        <v>182.60079710144927</v>
      </c>
      <c r="Z34" s="34">
        <f>кр!Y10</f>
        <v>182.60079710144927</v>
      </c>
      <c r="AA34" s="34">
        <f>кр!Z10</f>
        <v>182.60079710144927</v>
      </c>
      <c r="AB34" s="34">
        <f>кр!AA10</f>
        <v>182.60079710144927</v>
      </c>
      <c r="AC34" s="27">
        <f>SUM(Q34:AB34)</f>
        <v>2191.2095652173907</v>
      </c>
      <c r="AD34" s="34">
        <f>кр!AC10</f>
        <v>182.60079710144927</v>
      </c>
      <c r="AE34" s="34">
        <f>кр!AD10</f>
        <v>182.60079710144927</v>
      </c>
      <c r="AF34" s="34">
        <f>кр!AE10</f>
        <v>182.60079710144927</v>
      </c>
      <c r="AG34" s="34">
        <f>кр!AF10</f>
        <v>182.60079710144927</v>
      </c>
      <c r="AH34" s="34">
        <f>кр!AG10</f>
        <v>182.60079710144927</v>
      </c>
      <c r="AI34" s="34">
        <f>кр!AH10</f>
        <v>182.60079710144927</v>
      </c>
      <c r="AJ34" s="34">
        <f>кр!AI10</f>
        <v>182.60079710144927</v>
      </c>
      <c r="AK34" s="34">
        <f>кр!AJ10</f>
        <v>182.60079710144927</v>
      </c>
      <c r="AL34" s="34">
        <f>кр!AK10</f>
        <v>182.60079710144927</v>
      </c>
      <c r="AM34" s="34">
        <f>кр!AL10</f>
        <v>182.60079710144927</v>
      </c>
      <c r="AN34" s="34">
        <f>кр!AM10</f>
        <v>182.60079710144927</v>
      </c>
      <c r="AO34" s="34">
        <f>кр!AN10</f>
        <v>182.60079710144927</v>
      </c>
      <c r="AP34" s="34">
        <f>кр!AO10</f>
        <v>2191.2095652173907</v>
      </c>
      <c r="AQ34" s="34">
        <f>кр!AP10</f>
        <v>182.60079710144927</v>
      </c>
      <c r="AR34" s="34">
        <f>кр!AQ10</f>
        <v>182.60079710144927</v>
      </c>
      <c r="AS34" s="34">
        <f>кр!AR10</f>
        <v>182.60079710144927</v>
      </c>
      <c r="AT34" s="34">
        <f>кр!AS10</f>
        <v>182.60079710144927</v>
      </c>
      <c r="AU34" s="34">
        <f>кр!AT10</f>
        <v>182.60079710144927</v>
      </c>
      <c r="AV34" s="34">
        <f>кр!AU10</f>
        <v>182.60079710144927</v>
      </c>
      <c r="AW34" s="34">
        <f>кр!AV10</f>
        <v>182.60079710144927</v>
      </c>
      <c r="AX34" s="34">
        <f>кр!AW10</f>
        <v>182.60079710144927</v>
      </c>
      <c r="AY34" s="34">
        <f>кр!AX10</f>
        <v>182.60079710144927</v>
      </c>
      <c r="AZ34" s="34">
        <f>кр!AY10</f>
        <v>182.60079710144927</v>
      </c>
      <c r="BA34" s="34">
        <f>кр!AZ10</f>
        <v>182.60079710144927</v>
      </c>
      <c r="BB34" s="34">
        <f>кр!BA10</f>
        <v>182.60079710144927</v>
      </c>
      <c r="BC34" s="34">
        <f>кр!BB10</f>
        <v>2191.2095652173907</v>
      </c>
      <c r="BD34" s="34">
        <f>кр!BC10</f>
        <v>182.60079710144927</v>
      </c>
      <c r="BE34" s="34">
        <f>кр!BD10</f>
        <v>182.60079710144927</v>
      </c>
      <c r="BF34" s="34">
        <f>кр!BE10</f>
        <v>182.60079710144927</v>
      </c>
      <c r="BG34" s="34">
        <f>кр!BF10</f>
        <v>182.60079710144927</v>
      </c>
      <c r="BH34" s="34">
        <f>кр!BG10</f>
        <v>182.60079710144927</v>
      </c>
      <c r="BI34" s="34">
        <f>кр!BH10</f>
        <v>182.60079710144927</v>
      </c>
      <c r="BJ34" s="34">
        <f>кр!BI10</f>
        <v>182.60079710144927</v>
      </c>
      <c r="BK34" s="34">
        <f>кр!BJ10</f>
        <v>182.60079710144927</v>
      </c>
      <c r="BL34" s="34">
        <f>кр!BK10</f>
        <v>182.60079710144927</v>
      </c>
      <c r="BM34" s="34">
        <f>кр!BL10</f>
        <v>182.60079710144927</v>
      </c>
      <c r="BN34" s="34">
        <f>кр!BM10</f>
        <v>182.60079710144927</v>
      </c>
      <c r="BO34" s="34">
        <f>кр!BN10</f>
        <v>182.60079710144927</v>
      </c>
      <c r="BP34" s="29">
        <f>SUM(BD34:BO34)</f>
        <v>2191.2095652173907</v>
      </c>
      <c r="BQ34" s="34">
        <f>кр!BP10</f>
        <v>182.60079710144927</v>
      </c>
      <c r="BR34" s="34">
        <f>кр!BQ10</f>
        <v>182.60079710144927</v>
      </c>
      <c r="BS34" s="34">
        <f>кр!BR10</f>
        <v>182.60079710144927</v>
      </c>
      <c r="BT34" s="34">
        <f>кр!BS10</f>
        <v>182.60079710144927</v>
      </c>
      <c r="BU34" s="34">
        <f>кр!BT10</f>
        <v>182.60079710144927</v>
      </c>
      <c r="BV34" s="34">
        <f>кр!BU10</f>
        <v>182.60079710144927</v>
      </c>
      <c r="BW34" s="34">
        <f>кр!BV10</f>
        <v>182.60079710144927</v>
      </c>
      <c r="BX34" s="34">
        <f>кр!BW10</f>
        <v>182.60079710144927</v>
      </c>
      <c r="BY34" s="34">
        <f>кр!BX10</f>
        <v>182.60079710144927</v>
      </c>
      <c r="BZ34" s="34">
        <f>кр!BY10</f>
        <v>182.60079710144927</v>
      </c>
      <c r="CA34" s="34">
        <f>кр!BZ10</f>
        <v>182.60079710144927</v>
      </c>
      <c r="CB34" s="34">
        <f>кр!CA10</f>
        <v>182.60079710144927</v>
      </c>
      <c r="CC34" s="34">
        <f>кр!BO10</f>
        <v>2191.2095652173907</v>
      </c>
      <c r="CD34" s="34">
        <f>кр!CC10</f>
        <v>182.60079710144927</v>
      </c>
      <c r="CE34" s="34">
        <f>кр!CD10</f>
        <v>182.60079710144927</v>
      </c>
      <c r="CF34" s="34">
        <f>кр!CE10</f>
        <v>182.60079710144927</v>
      </c>
      <c r="CG34" s="34">
        <f>кр!CF10</f>
        <v>0</v>
      </c>
      <c r="CH34" s="34">
        <f>кр!CG10</f>
        <v>0</v>
      </c>
      <c r="CI34" s="34">
        <f>кр!CH10</f>
        <v>0</v>
      </c>
      <c r="CJ34" s="34">
        <f>кр!CI10</f>
        <v>0</v>
      </c>
      <c r="CK34" s="34">
        <f>кр!CJ10</f>
        <v>0</v>
      </c>
      <c r="CL34" s="34">
        <f>кр!CK10</f>
        <v>0</v>
      </c>
      <c r="CM34" s="34">
        <f>кр!CL10</f>
        <v>0</v>
      </c>
      <c r="CN34" s="34">
        <f>кр!CM10</f>
        <v>0</v>
      </c>
      <c r="CO34" s="34">
        <f>кр!CN10</f>
        <v>0</v>
      </c>
      <c r="CP34" s="34">
        <f>SUM(CD34:CO34)</f>
        <v>547.8023913043478</v>
      </c>
    </row>
    <row r="35" spans="1:94" s="21" customFormat="1" ht="25.5">
      <c r="A35" s="39" t="s">
        <v>25</v>
      </c>
      <c r="B35" s="18">
        <f>B29-B32</f>
        <v>3568.344700000005</v>
      </c>
      <c r="C35" s="18"/>
      <c r="D35" s="18">
        <f>D29-D32</f>
        <v>0</v>
      </c>
      <c r="E35" s="18">
        <f aca="true" t="shared" si="49" ref="E35:CC35">E29-E32</f>
        <v>0</v>
      </c>
      <c r="F35" s="18">
        <f t="shared" si="49"/>
        <v>4427.5</v>
      </c>
      <c r="G35" s="18">
        <f t="shared" si="49"/>
        <v>9920.2997</v>
      </c>
      <c r="H35" s="18">
        <f t="shared" si="49"/>
        <v>1820</v>
      </c>
      <c r="I35" s="18">
        <f t="shared" si="49"/>
        <v>0</v>
      </c>
      <c r="J35" s="18">
        <f t="shared" si="49"/>
        <v>-182.60079710144927</v>
      </c>
      <c r="K35" s="18">
        <f t="shared" si="49"/>
        <v>-182.60079710144927</v>
      </c>
      <c r="L35" s="18">
        <f t="shared" si="49"/>
        <v>-182.60079710144927</v>
      </c>
      <c r="M35" s="18">
        <f t="shared" si="49"/>
        <v>-182.60079710144927</v>
      </c>
      <c r="N35" s="18">
        <f t="shared" si="49"/>
        <v>-182.60079710144927</v>
      </c>
      <c r="O35" s="18">
        <f t="shared" si="49"/>
        <v>-182.60079710144927</v>
      </c>
      <c r="P35" s="18">
        <f t="shared" si="49"/>
        <v>15072.194917391304</v>
      </c>
      <c r="Q35" s="18">
        <f t="shared" si="49"/>
        <v>-182.60079710144927</v>
      </c>
      <c r="R35" s="18">
        <f t="shared" si="49"/>
        <v>-182.60079710144927</v>
      </c>
      <c r="S35" s="18">
        <f t="shared" si="49"/>
        <v>-182.60079710144927</v>
      </c>
      <c r="T35" s="18">
        <f t="shared" si="49"/>
        <v>-182.60079710144927</v>
      </c>
      <c r="U35" s="18">
        <f t="shared" si="49"/>
        <v>-182.60079710144927</v>
      </c>
      <c r="V35" s="18">
        <f t="shared" si="49"/>
        <v>-182.60079710144927</v>
      </c>
      <c r="W35" s="18">
        <f t="shared" si="49"/>
        <v>-182.60079710144927</v>
      </c>
      <c r="X35" s="18">
        <f t="shared" si="49"/>
        <v>-182.60079710144927</v>
      </c>
      <c r="Y35" s="18">
        <f t="shared" si="49"/>
        <v>-182.60079710144927</v>
      </c>
      <c r="Z35" s="18">
        <f t="shared" si="49"/>
        <v>-182.60079710144927</v>
      </c>
      <c r="AA35" s="18">
        <f t="shared" si="49"/>
        <v>-182.60079710144927</v>
      </c>
      <c r="AB35" s="18">
        <f t="shared" si="49"/>
        <v>-182.60079710144927</v>
      </c>
      <c r="AC35" s="18">
        <f t="shared" si="49"/>
        <v>-2191.2095652173907</v>
      </c>
      <c r="AD35" s="18">
        <f aca="true" t="shared" si="50" ref="AD35:AO35">AD29-AD32</f>
        <v>-182.60079710144927</v>
      </c>
      <c r="AE35" s="18">
        <f t="shared" si="50"/>
        <v>-182.60079710144927</v>
      </c>
      <c r="AF35" s="18">
        <f t="shared" si="50"/>
        <v>-182.60079710144927</v>
      </c>
      <c r="AG35" s="18">
        <f t="shared" si="50"/>
        <v>-182.60079710144927</v>
      </c>
      <c r="AH35" s="18">
        <f t="shared" si="50"/>
        <v>-182.60079710144927</v>
      </c>
      <c r="AI35" s="18">
        <f t="shared" si="50"/>
        <v>-182.60079710144927</v>
      </c>
      <c r="AJ35" s="18">
        <f t="shared" si="50"/>
        <v>-182.60079710144927</v>
      </c>
      <c r="AK35" s="18">
        <f t="shared" si="50"/>
        <v>-182.60079710144927</v>
      </c>
      <c r="AL35" s="18">
        <f t="shared" si="50"/>
        <v>-182.60079710144927</v>
      </c>
      <c r="AM35" s="18">
        <f t="shared" si="50"/>
        <v>-182.60079710144927</v>
      </c>
      <c r="AN35" s="18">
        <f t="shared" si="50"/>
        <v>-182.60079710144927</v>
      </c>
      <c r="AO35" s="18">
        <f t="shared" si="50"/>
        <v>-182.60079710144927</v>
      </c>
      <c r="AP35" s="18">
        <f t="shared" si="49"/>
        <v>-2191.2095652173907</v>
      </c>
      <c r="AQ35" s="18">
        <f t="shared" si="49"/>
        <v>-182.60079710144927</v>
      </c>
      <c r="AR35" s="18">
        <f t="shared" si="49"/>
        <v>-182.60079710144927</v>
      </c>
      <c r="AS35" s="18">
        <f t="shared" si="49"/>
        <v>-182.60079710144927</v>
      </c>
      <c r="AT35" s="18">
        <f t="shared" si="49"/>
        <v>-182.60079710144927</v>
      </c>
      <c r="AU35" s="18">
        <f t="shared" si="49"/>
        <v>-182.60079710144927</v>
      </c>
      <c r="AV35" s="18">
        <f t="shared" si="49"/>
        <v>-182.60079710144927</v>
      </c>
      <c r="AW35" s="18">
        <f t="shared" si="49"/>
        <v>-182.60079710144927</v>
      </c>
      <c r="AX35" s="18">
        <f t="shared" si="49"/>
        <v>-182.60079710144927</v>
      </c>
      <c r="AY35" s="18">
        <f t="shared" si="49"/>
        <v>-182.60079710144927</v>
      </c>
      <c r="AZ35" s="18">
        <f t="shared" si="49"/>
        <v>-182.60079710144927</v>
      </c>
      <c r="BA35" s="18">
        <f t="shared" si="49"/>
        <v>-182.60079710144927</v>
      </c>
      <c r="BB35" s="18">
        <f t="shared" si="49"/>
        <v>-182.60079710144927</v>
      </c>
      <c r="BC35" s="18">
        <f aca="true" t="shared" si="51" ref="BC35:BO35">BC29-BC32</f>
        <v>-2191.2095652173907</v>
      </c>
      <c r="BD35" s="18">
        <f t="shared" si="51"/>
        <v>-182.60079710144927</v>
      </c>
      <c r="BE35" s="18">
        <f t="shared" si="51"/>
        <v>-182.60079710144927</v>
      </c>
      <c r="BF35" s="18">
        <f t="shared" si="51"/>
        <v>-182.60079710144927</v>
      </c>
      <c r="BG35" s="18">
        <f t="shared" si="51"/>
        <v>-182.60079710144927</v>
      </c>
      <c r="BH35" s="18">
        <f t="shared" si="51"/>
        <v>-182.60079710144927</v>
      </c>
      <c r="BI35" s="18">
        <f t="shared" si="51"/>
        <v>-182.60079710144927</v>
      </c>
      <c r="BJ35" s="18">
        <f t="shared" si="51"/>
        <v>-182.60079710144927</v>
      </c>
      <c r="BK35" s="18">
        <f t="shared" si="51"/>
        <v>-182.60079710144927</v>
      </c>
      <c r="BL35" s="18">
        <f t="shared" si="51"/>
        <v>-182.60079710144927</v>
      </c>
      <c r="BM35" s="18">
        <f t="shared" si="51"/>
        <v>-182.60079710144927</v>
      </c>
      <c r="BN35" s="18">
        <f t="shared" si="51"/>
        <v>-182.60079710144927</v>
      </c>
      <c r="BO35" s="18">
        <f t="shared" si="51"/>
        <v>-182.60079710144927</v>
      </c>
      <c r="BP35" s="18">
        <f t="shared" si="49"/>
        <v>-2191.2095652173907</v>
      </c>
      <c r="BQ35" s="18">
        <f t="shared" si="49"/>
        <v>-182.60079710144927</v>
      </c>
      <c r="BR35" s="18">
        <f t="shared" si="49"/>
        <v>-182.60079710144927</v>
      </c>
      <c r="BS35" s="18">
        <f t="shared" si="49"/>
        <v>-182.60079710144927</v>
      </c>
      <c r="BT35" s="18">
        <f t="shared" si="49"/>
        <v>-182.60079710144927</v>
      </c>
      <c r="BU35" s="18">
        <f t="shared" si="49"/>
        <v>-182.60079710144927</v>
      </c>
      <c r="BV35" s="18">
        <f t="shared" si="49"/>
        <v>-182.60079710144927</v>
      </c>
      <c r="BW35" s="18">
        <f t="shared" si="49"/>
        <v>-182.60079710144927</v>
      </c>
      <c r="BX35" s="18">
        <f t="shared" si="49"/>
        <v>-182.60079710144927</v>
      </c>
      <c r="BY35" s="18">
        <f t="shared" si="49"/>
        <v>-182.60079710144927</v>
      </c>
      <c r="BZ35" s="18">
        <f t="shared" si="49"/>
        <v>-182.60079710144927</v>
      </c>
      <c r="CA35" s="18">
        <f t="shared" si="49"/>
        <v>-182.60079710144927</v>
      </c>
      <c r="CB35" s="18">
        <f t="shared" si="49"/>
        <v>-182.60079710144927</v>
      </c>
      <c r="CC35" s="18">
        <f t="shared" si="49"/>
        <v>-2191.2095652173907</v>
      </c>
      <c r="CD35" s="18">
        <f aca="true" t="shared" si="52" ref="CD35:CO35">CD29-CD32</f>
        <v>-182.60079710144927</v>
      </c>
      <c r="CE35" s="18">
        <f t="shared" si="52"/>
        <v>-182.60079710144927</v>
      </c>
      <c r="CF35" s="18">
        <f t="shared" si="52"/>
        <v>-182.60079710144927</v>
      </c>
      <c r="CG35" s="18">
        <f t="shared" si="52"/>
        <v>0</v>
      </c>
      <c r="CH35" s="18">
        <f t="shared" si="52"/>
        <v>0</v>
      </c>
      <c r="CI35" s="18">
        <f t="shared" si="52"/>
        <v>0</v>
      </c>
      <c r="CJ35" s="18">
        <f t="shared" si="52"/>
        <v>0</v>
      </c>
      <c r="CK35" s="18">
        <f t="shared" si="52"/>
        <v>0</v>
      </c>
      <c r="CL35" s="18">
        <f t="shared" si="52"/>
        <v>0</v>
      </c>
      <c r="CM35" s="18">
        <f t="shared" si="52"/>
        <v>0</v>
      </c>
      <c r="CN35" s="18">
        <f t="shared" si="52"/>
        <v>0</v>
      </c>
      <c r="CO35" s="18">
        <f t="shared" si="52"/>
        <v>0</v>
      </c>
      <c r="CP35" s="18">
        <f>CP29-CP32</f>
        <v>-547.8023913043478</v>
      </c>
    </row>
    <row r="36" spans="1:94" s="48" customFormat="1" ht="12.75">
      <c r="A36" s="46" t="s">
        <v>26</v>
      </c>
      <c r="B36" s="47">
        <f>B20+B26+B35</f>
        <v>31736.54315000009</v>
      </c>
      <c r="C36" s="27"/>
      <c r="D36" s="47">
        <f>D20+D26+D35</f>
        <v>0</v>
      </c>
      <c r="E36" s="47">
        <f aca="true" t="shared" si="53" ref="E36:CC36">E20+E26+E35</f>
        <v>0</v>
      </c>
      <c r="F36" s="47">
        <f t="shared" si="53"/>
        <v>0</v>
      </c>
      <c r="G36" s="47">
        <f t="shared" si="53"/>
        <v>0</v>
      </c>
      <c r="H36" s="47">
        <f t="shared" si="53"/>
        <v>1652.0626999999997</v>
      </c>
      <c r="I36" s="47">
        <f t="shared" si="53"/>
        <v>-63.12689999999998</v>
      </c>
      <c r="J36" s="47">
        <f t="shared" si="53"/>
        <v>-371.72224710144917</v>
      </c>
      <c r="K36" s="47">
        <f t="shared" si="53"/>
        <v>-265.08583913043447</v>
      </c>
      <c r="L36" s="47">
        <f t="shared" si="53"/>
        <v>-263.25983115942006</v>
      </c>
      <c r="M36" s="47">
        <f t="shared" si="53"/>
        <v>-156.623423188406</v>
      </c>
      <c r="N36" s="47">
        <f t="shared" si="53"/>
        <v>-154.79741521739115</v>
      </c>
      <c r="O36" s="47">
        <f t="shared" si="53"/>
        <v>-152.97140724637674</v>
      </c>
      <c r="P36" s="47">
        <f t="shared" si="53"/>
        <v>224.47563695652389</v>
      </c>
      <c r="Q36" s="47">
        <f t="shared" si="53"/>
        <v>-76.23794927536218</v>
      </c>
      <c r="R36" s="47">
        <f t="shared" si="53"/>
        <v>-74.41194130434778</v>
      </c>
      <c r="S36" s="47">
        <f t="shared" si="53"/>
        <v>-72.58593333333337</v>
      </c>
      <c r="T36" s="47">
        <f t="shared" si="53"/>
        <v>34.05047463768133</v>
      </c>
      <c r="U36" s="47">
        <f t="shared" si="53"/>
        <v>35.87648260869574</v>
      </c>
      <c r="V36" s="47">
        <f t="shared" si="53"/>
        <v>37.702490579710144</v>
      </c>
      <c r="W36" s="47">
        <f t="shared" si="53"/>
        <v>144.33889855072394</v>
      </c>
      <c r="X36" s="47">
        <f t="shared" si="53"/>
        <v>146.16490652173835</v>
      </c>
      <c r="Y36" s="47">
        <f t="shared" si="53"/>
        <v>147.9909144927532</v>
      </c>
      <c r="Z36" s="47">
        <f t="shared" si="53"/>
        <v>254.6273224637679</v>
      </c>
      <c r="AA36" s="47">
        <f t="shared" si="53"/>
        <v>256.4533304347823</v>
      </c>
      <c r="AB36" s="47">
        <f t="shared" si="53"/>
        <v>258.2793384057967</v>
      </c>
      <c r="AC36" s="47">
        <f>AC20+AC26+AC35</f>
        <v>1092.2483347826178</v>
      </c>
      <c r="AD36" s="47">
        <f aca="true" t="shared" si="54" ref="AD36:AO36">AD20+AD26+AD35</f>
        <v>250.137696376812</v>
      </c>
      <c r="AE36" s="47">
        <f t="shared" si="54"/>
        <v>251.96370434782685</v>
      </c>
      <c r="AF36" s="47">
        <f t="shared" si="54"/>
        <v>253.78971231884125</v>
      </c>
      <c r="AG36" s="47">
        <f t="shared" si="54"/>
        <v>255.61572028985566</v>
      </c>
      <c r="AH36" s="47">
        <f t="shared" si="54"/>
        <v>257.44172826087004</v>
      </c>
      <c r="AI36" s="47">
        <f t="shared" si="54"/>
        <v>259.26773623188444</v>
      </c>
      <c r="AJ36" s="47">
        <f t="shared" si="54"/>
        <v>261.0937442028993</v>
      </c>
      <c r="AK36" s="47">
        <f t="shared" si="54"/>
        <v>262.9197521739137</v>
      </c>
      <c r="AL36" s="47">
        <f t="shared" si="54"/>
        <v>264.7457601449281</v>
      </c>
      <c r="AM36" s="47">
        <f t="shared" si="54"/>
        <v>266.5717681159425</v>
      </c>
      <c r="AN36" s="47">
        <f t="shared" si="54"/>
        <v>268.3977760869569</v>
      </c>
      <c r="AO36" s="47">
        <f t="shared" si="54"/>
        <v>270.2237840579718</v>
      </c>
      <c r="AP36" s="47">
        <f t="shared" si="53"/>
        <v>3122.1688826087025</v>
      </c>
      <c r="AQ36" s="47">
        <f t="shared" si="53"/>
        <v>370.21509202898585</v>
      </c>
      <c r="AR36" s="47">
        <f t="shared" si="53"/>
        <v>372.04110000000026</v>
      </c>
      <c r="AS36" s="47">
        <f t="shared" si="53"/>
        <v>373.86710797101466</v>
      </c>
      <c r="AT36" s="47">
        <f t="shared" si="53"/>
        <v>375.69311594202907</v>
      </c>
      <c r="AU36" s="47">
        <f t="shared" si="53"/>
        <v>377.5191239130439</v>
      </c>
      <c r="AV36" s="47">
        <f t="shared" si="53"/>
        <v>379.34513188405833</v>
      </c>
      <c r="AW36" s="47">
        <f t="shared" si="53"/>
        <v>381.17113985507274</v>
      </c>
      <c r="AX36" s="47">
        <f t="shared" si="53"/>
        <v>382.99714782608714</v>
      </c>
      <c r="AY36" s="47">
        <f t="shared" si="53"/>
        <v>384.82315579710155</v>
      </c>
      <c r="AZ36" s="47">
        <f t="shared" si="53"/>
        <v>386.6491637681164</v>
      </c>
      <c r="BA36" s="47">
        <f t="shared" si="53"/>
        <v>388.4751717391308</v>
      </c>
      <c r="BB36" s="47">
        <f t="shared" si="53"/>
        <v>390.3011797101452</v>
      </c>
      <c r="BC36" s="47">
        <f aca="true" t="shared" si="55" ref="BC36:BO36">BC20+BC26+BC35</f>
        <v>4563.097630434791</v>
      </c>
      <c r="BD36" s="47">
        <f t="shared" si="55"/>
        <v>490.29248768115974</v>
      </c>
      <c r="BE36" s="47">
        <f t="shared" si="55"/>
        <v>492.11849565217415</v>
      </c>
      <c r="BF36" s="47">
        <f t="shared" si="55"/>
        <v>493.94450362318855</v>
      </c>
      <c r="BG36" s="47">
        <f t="shared" si="55"/>
        <v>495.77051159420296</v>
      </c>
      <c r="BH36" s="47">
        <f t="shared" si="55"/>
        <v>497.59651956521736</v>
      </c>
      <c r="BI36" s="47">
        <f t="shared" si="55"/>
        <v>499.42252753623177</v>
      </c>
      <c r="BJ36" s="47">
        <f t="shared" si="55"/>
        <v>501.2485355072462</v>
      </c>
      <c r="BK36" s="47">
        <f t="shared" si="55"/>
        <v>503.0745434782615</v>
      </c>
      <c r="BL36" s="47">
        <f t="shared" si="55"/>
        <v>504.9005514492759</v>
      </c>
      <c r="BM36" s="47">
        <f t="shared" si="55"/>
        <v>506.7265594202903</v>
      </c>
      <c r="BN36" s="47">
        <f t="shared" si="55"/>
        <v>508.5525673913047</v>
      </c>
      <c r="BO36" s="47">
        <f t="shared" si="55"/>
        <v>510.3785753623191</v>
      </c>
      <c r="BP36" s="47">
        <f t="shared" si="53"/>
        <v>6004.026378260873</v>
      </c>
      <c r="BQ36" s="47">
        <f t="shared" si="53"/>
        <v>610.3698833333341</v>
      </c>
      <c r="BR36" s="47">
        <f t="shared" si="53"/>
        <v>612.195891304349</v>
      </c>
      <c r="BS36" s="47">
        <f t="shared" si="53"/>
        <v>614.0218992753634</v>
      </c>
      <c r="BT36" s="47">
        <f t="shared" si="53"/>
        <v>615.8479072463778</v>
      </c>
      <c r="BU36" s="47">
        <f t="shared" si="53"/>
        <v>617.6739152173922</v>
      </c>
      <c r="BV36" s="47">
        <f t="shared" si="53"/>
        <v>619.4999231884066</v>
      </c>
      <c r="BW36" s="47">
        <f t="shared" si="53"/>
        <v>621.3259311594214</v>
      </c>
      <c r="BX36" s="47">
        <f t="shared" si="53"/>
        <v>623.1519391304358</v>
      </c>
      <c r="BY36" s="47">
        <f t="shared" si="53"/>
        <v>624.9779471014502</v>
      </c>
      <c r="BZ36" s="47">
        <f t="shared" si="53"/>
        <v>626.8039550724646</v>
      </c>
      <c r="CA36" s="47">
        <f t="shared" si="53"/>
        <v>628.629963043479</v>
      </c>
      <c r="CB36" s="47">
        <f t="shared" si="53"/>
        <v>630.4559710144939</v>
      </c>
      <c r="CC36" s="47">
        <f t="shared" si="53"/>
        <v>7444.955126086961</v>
      </c>
      <c r="CD36" s="47">
        <f aca="true" t="shared" si="56" ref="CD36:CO36">CD20+CD26+CD35</f>
        <v>632.2819789855083</v>
      </c>
      <c r="CE36" s="47">
        <f t="shared" si="56"/>
        <v>634.1079869565227</v>
      </c>
      <c r="CF36" s="47">
        <f t="shared" si="56"/>
        <v>635.9339949275371</v>
      </c>
      <c r="CG36" s="47">
        <f t="shared" si="56"/>
        <v>820.3608000000008</v>
      </c>
      <c r="CH36" s="47">
        <f t="shared" si="56"/>
        <v>820.3608000000008</v>
      </c>
      <c r="CI36" s="47">
        <f t="shared" si="56"/>
        <v>820.3608000000008</v>
      </c>
      <c r="CJ36" s="47">
        <f t="shared" si="56"/>
        <v>820.3608000000008</v>
      </c>
      <c r="CK36" s="47">
        <f t="shared" si="56"/>
        <v>820.3608000000008</v>
      </c>
      <c r="CL36" s="47">
        <f t="shared" si="56"/>
        <v>820.3608000000008</v>
      </c>
      <c r="CM36" s="47">
        <f t="shared" si="56"/>
        <v>820.3608000000008</v>
      </c>
      <c r="CN36" s="47">
        <f t="shared" si="56"/>
        <v>820.3608000000008</v>
      </c>
      <c r="CO36" s="47">
        <f t="shared" si="56"/>
        <v>820.3608000000008</v>
      </c>
      <c r="CP36" s="47">
        <f>CP20+CP26+CP35</f>
        <v>9285.571160869575</v>
      </c>
    </row>
    <row r="37" spans="1:101" s="21" customFormat="1" ht="12.75">
      <c r="A37" s="49" t="s">
        <v>55</v>
      </c>
      <c r="B37" s="27">
        <f>B7+B20+B26+B35</f>
        <v>31736.54315000009</v>
      </c>
      <c r="C37" s="50"/>
      <c r="D37" s="51">
        <f aca="true" t="shared" si="57" ref="D37:O37">D7+D20+D26+D35</f>
        <v>0</v>
      </c>
      <c r="E37" s="51">
        <f t="shared" si="57"/>
        <v>0</v>
      </c>
      <c r="F37" s="51">
        <f t="shared" si="57"/>
        <v>0</v>
      </c>
      <c r="G37" s="51">
        <f t="shared" si="57"/>
        <v>0</v>
      </c>
      <c r="H37" s="51">
        <f t="shared" si="57"/>
        <v>1652.0626999999997</v>
      </c>
      <c r="I37" s="51">
        <f t="shared" si="57"/>
        <v>1588.9357999999997</v>
      </c>
      <c r="J37" s="51">
        <f t="shared" si="57"/>
        <v>1217.2135528985507</v>
      </c>
      <c r="K37" s="51">
        <f t="shared" si="57"/>
        <v>952.1277137681162</v>
      </c>
      <c r="L37" s="51">
        <f t="shared" si="57"/>
        <v>688.8678826086962</v>
      </c>
      <c r="M37" s="51">
        <f t="shared" si="57"/>
        <v>532.2444594202901</v>
      </c>
      <c r="N37" s="51">
        <f t="shared" si="57"/>
        <v>377.44704420289895</v>
      </c>
      <c r="O37" s="51">
        <f t="shared" si="57"/>
        <v>224.4756369565222</v>
      </c>
      <c r="P37" s="52">
        <f>O37</f>
        <v>224.4756369565222</v>
      </c>
      <c r="Q37" s="51">
        <f>P37+Q20+Q26+Q35</f>
        <v>148.23768768116</v>
      </c>
      <c r="R37" s="51">
        <f aca="true" t="shared" si="58" ref="R37:AB37">Q37+R20+R26+R35</f>
        <v>73.82574637681219</v>
      </c>
      <c r="S37" s="51">
        <f t="shared" si="58"/>
        <v>1.2398130434788186</v>
      </c>
      <c r="T37" s="51">
        <f t="shared" si="58"/>
        <v>35.29028768116015</v>
      </c>
      <c r="U37" s="51">
        <f t="shared" si="58"/>
        <v>71.16677028985589</v>
      </c>
      <c r="V37" s="51">
        <f t="shared" si="58"/>
        <v>108.86926086956603</v>
      </c>
      <c r="W37" s="51">
        <f t="shared" si="58"/>
        <v>253.20815942028995</v>
      </c>
      <c r="X37" s="51">
        <f t="shared" si="58"/>
        <v>399.37306594202823</v>
      </c>
      <c r="Y37" s="51">
        <f t="shared" si="58"/>
        <v>547.3639804347814</v>
      </c>
      <c r="Z37" s="51">
        <f t="shared" si="58"/>
        <v>801.9913028985493</v>
      </c>
      <c r="AA37" s="51">
        <f t="shared" si="58"/>
        <v>1058.4446333333317</v>
      </c>
      <c r="AB37" s="51">
        <f t="shared" si="58"/>
        <v>1316.7239717391285</v>
      </c>
      <c r="AC37" s="51">
        <f>AB37</f>
        <v>1316.7239717391285</v>
      </c>
      <c r="AD37" s="51">
        <f aca="true" t="shared" si="59" ref="AD37:AO37">AC37+AD20+AD26+AD35</f>
        <v>1566.8616681159406</v>
      </c>
      <c r="AE37" s="51">
        <f t="shared" si="59"/>
        <v>1818.8253724637675</v>
      </c>
      <c r="AF37" s="51">
        <f t="shared" si="59"/>
        <v>2072.615084782609</v>
      </c>
      <c r="AG37" s="51">
        <f t="shared" si="59"/>
        <v>2328.2308050724646</v>
      </c>
      <c r="AH37" s="51">
        <f t="shared" si="59"/>
        <v>2585.6725333333347</v>
      </c>
      <c r="AI37" s="51">
        <f t="shared" si="59"/>
        <v>2844.9402695652193</v>
      </c>
      <c r="AJ37" s="51">
        <f t="shared" si="59"/>
        <v>3106.0340137681187</v>
      </c>
      <c r="AK37" s="51">
        <f t="shared" si="59"/>
        <v>3368.9537659420325</v>
      </c>
      <c r="AL37" s="51">
        <f t="shared" si="59"/>
        <v>3633.6995260869608</v>
      </c>
      <c r="AM37" s="51">
        <f t="shared" si="59"/>
        <v>3900.2712942029034</v>
      </c>
      <c r="AN37" s="51">
        <f t="shared" si="59"/>
        <v>4168.6690702898595</v>
      </c>
      <c r="AO37" s="51">
        <f t="shared" si="59"/>
        <v>4438.8928543478305</v>
      </c>
      <c r="AP37" s="51">
        <f>AC37+AP20+AP26+AP35</f>
        <v>4438.8928543478305</v>
      </c>
      <c r="AQ37" s="51">
        <f aca="true" t="shared" si="60" ref="AQ37:BB37">AP37+AQ20+AQ26+AQ35</f>
        <v>4809.1079463768165</v>
      </c>
      <c r="AR37" s="51">
        <f t="shared" si="60"/>
        <v>5181.149046376817</v>
      </c>
      <c r="AS37" s="51">
        <f t="shared" si="60"/>
        <v>5555.016154347832</v>
      </c>
      <c r="AT37" s="51">
        <f t="shared" si="60"/>
        <v>5930.709270289861</v>
      </c>
      <c r="AU37" s="51">
        <f t="shared" si="60"/>
        <v>6308.228394202904</v>
      </c>
      <c r="AV37" s="51">
        <f t="shared" si="60"/>
        <v>6687.573526086962</v>
      </c>
      <c r="AW37" s="51">
        <f t="shared" si="60"/>
        <v>7068.744665942035</v>
      </c>
      <c r="AX37" s="51">
        <f t="shared" si="60"/>
        <v>7451.741813768122</v>
      </c>
      <c r="AY37" s="51">
        <f t="shared" si="60"/>
        <v>7836.564969565223</v>
      </c>
      <c r="AZ37" s="51">
        <f t="shared" si="60"/>
        <v>8223.214133333338</v>
      </c>
      <c r="BA37" s="51">
        <f t="shared" si="60"/>
        <v>8611.689305072468</v>
      </c>
      <c r="BB37" s="51">
        <f t="shared" si="60"/>
        <v>9001.990484782613</v>
      </c>
      <c r="BC37" s="51">
        <f>AP37+BC20+BC26+BC35</f>
        <v>9001.990484782622</v>
      </c>
      <c r="BD37" s="51">
        <f aca="true" t="shared" si="61" ref="BD37:BO37">BC37+BD20+BD26+BD35</f>
        <v>9492.282972463781</v>
      </c>
      <c r="BE37" s="51">
        <f t="shared" si="61"/>
        <v>9984.401468115955</v>
      </c>
      <c r="BF37" s="51">
        <f t="shared" si="61"/>
        <v>10478.345971739143</v>
      </c>
      <c r="BG37" s="51">
        <f t="shared" si="61"/>
        <v>10974.116483333346</v>
      </c>
      <c r="BH37" s="51">
        <f t="shared" si="61"/>
        <v>11471.713002898563</v>
      </c>
      <c r="BI37" s="51">
        <f t="shared" si="61"/>
        <v>11971.135530434794</v>
      </c>
      <c r="BJ37" s="51">
        <f t="shared" si="61"/>
        <v>12472.38406594204</v>
      </c>
      <c r="BK37" s="51">
        <f t="shared" si="61"/>
        <v>12975.458609420302</v>
      </c>
      <c r="BL37" s="51">
        <f t="shared" si="61"/>
        <v>13480.359160869577</v>
      </c>
      <c r="BM37" s="51">
        <f t="shared" si="61"/>
        <v>13987.085720289868</v>
      </c>
      <c r="BN37" s="51">
        <f t="shared" si="61"/>
        <v>14495.638287681171</v>
      </c>
      <c r="BO37" s="51">
        <f t="shared" si="61"/>
        <v>15006.016863043491</v>
      </c>
      <c r="BP37" s="51">
        <f>BC37+BP20+BP26+BP35</f>
        <v>15006.016863043495</v>
      </c>
      <c r="BQ37" s="51">
        <f aca="true" t="shared" si="62" ref="BQ37:CB37">BP37+BQ20+BQ26+BQ35</f>
        <v>15616.386746376827</v>
      </c>
      <c r="BR37" s="51">
        <f t="shared" si="62"/>
        <v>16228.582637681176</v>
      </c>
      <c r="BS37" s="51">
        <f t="shared" si="62"/>
        <v>16842.60453695654</v>
      </c>
      <c r="BT37" s="51">
        <f t="shared" si="62"/>
        <v>17458.452444202918</v>
      </c>
      <c r="BU37" s="51">
        <f t="shared" si="62"/>
        <v>18076.126359420312</v>
      </c>
      <c r="BV37" s="51">
        <f t="shared" si="62"/>
        <v>18695.62628260872</v>
      </c>
      <c r="BW37" s="51">
        <f t="shared" si="62"/>
        <v>19316.95221376814</v>
      </c>
      <c r="BX37" s="51">
        <f t="shared" si="62"/>
        <v>19940.10415289858</v>
      </c>
      <c r="BY37" s="51">
        <f t="shared" si="62"/>
        <v>20565.082100000032</v>
      </c>
      <c r="BZ37" s="51">
        <f t="shared" si="62"/>
        <v>21191.8860550725</v>
      </c>
      <c r="CA37" s="51">
        <f t="shared" si="62"/>
        <v>21820.51601811598</v>
      </c>
      <c r="CB37" s="51">
        <f t="shared" si="62"/>
        <v>22450.971989130478</v>
      </c>
      <c r="CC37" s="51">
        <f>BP37+CC20+CC26+CC35</f>
        <v>22450.971989130452</v>
      </c>
      <c r="CD37" s="51">
        <f aca="true" t="shared" si="63" ref="CD37:CO37">CC37+CD20+CD26+CD35</f>
        <v>23083.25396811596</v>
      </c>
      <c r="CE37" s="51">
        <f t="shared" si="63"/>
        <v>23717.361955072487</v>
      </c>
      <c r="CF37" s="51">
        <f t="shared" si="63"/>
        <v>24353.295950000025</v>
      </c>
      <c r="CG37" s="51">
        <f t="shared" si="63"/>
        <v>25173.656750000027</v>
      </c>
      <c r="CH37" s="51">
        <f t="shared" si="63"/>
        <v>25994.01755000003</v>
      </c>
      <c r="CI37" s="51">
        <f t="shared" si="63"/>
        <v>26814.37835000003</v>
      </c>
      <c r="CJ37" s="51">
        <f t="shared" si="63"/>
        <v>27634.739150000034</v>
      </c>
      <c r="CK37" s="51">
        <f t="shared" si="63"/>
        <v>28455.099950000036</v>
      </c>
      <c r="CL37" s="51">
        <f t="shared" si="63"/>
        <v>29275.46075000004</v>
      </c>
      <c r="CM37" s="51">
        <f t="shared" si="63"/>
        <v>30095.82155000004</v>
      </c>
      <c r="CN37" s="51">
        <f t="shared" si="63"/>
        <v>30916.182350000043</v>
      </c>
      <c r="CO37" s="51">
        <f t="shared" si="63"/>
        <v>31736.543150000045</v>
      </c>
      <c r="CP37" s="51">
        <f>CC37+CP20+CP26+CP35</f>
        <v>31736.543150000027</v>
      </c>
      <c r="CQ37" s="7">
        <v>2012</v>
      </c>
      <c r="CR37" s="7">
        <f aca="true" t="shared" si="64" ref="CR37:CU38">CQ37+1</f>
        <v>2013</v>
      </c>
      <c r="CS37" s="7">
        <f t="shared" si="64"/>
        <v>2014</v>
      </c>
      <c r="CT37" s="7">
        <f t="shared" si="64"/>
        <v>2015</v>
      </c>
      <c r="CU37" s="7">
        <f t="shared" si="64"/>
        <v>2016</v>
      </c>
      <c r="CV37" s="7">
        <f>CU37+1</f>
        <v>2017</v>
      </c>
      <c r="CW37" s="7">
        <f>CV37+1</f>
        <v>2018</v>
      </c>
    </row>
    <row r="38" spans="1:101" ht="12.75">
      <c r="A38" s="53"/>
      <c r="B38" s="54">
        <f>CP37</f>
        <v>31736.543150000027</v>
      </c>
      <c r="C38" s="55"/>
      <c r="D38" s="56">
        <f aca="true" t="shared" si="65" ref="D38:CP38">D7+D36-D37</f>
        <v>0</v>
      </c>
      <c r="E38" s="56">
        <f t="shared" si="65"/>
        <v>0</v>
      </c>
      <c r="F38" s="56">
        <f t="shared" si="65"/>
        <v>0</v>
      </c>
      <c r="G38" s="56">
        <f t="shared" si="65"/>
        <v>0</v>
      </c>
      <c r="H38" s="56">
        <f t="shared" si="65"/>
        <v>0</v>
      </c>
      <c r="I38" s="56">
        <f t="shared" si="65"/>
        <v>0</v>
      </c>
      <c r="J38" s="56">
        <f t="shared" si="65"/>
        <v>0</v>
      </c>
      <c r="K38" s="56">
        <f t="shared" si="65"/>
        <v>0</v>
      </c>
      <c r="L38" s="56">
        <f t="shared" si="65"/>
        <v>0</v>
      </c>
      <c r="M38" s="56">
        <f t="shared" si="65"/>
        <v>0</v>
      </c>
      <c r="N38" s="56">
        <f t="shared" si="65"/>
        <v>0</v>
      </c>
      <c r="O38" s="56">
        <f t="shared" si="65"/>
        <v>0</v>
      </c>
      <c r="P38" s="56"/>
      <c r="Q38" s="56">
        <f t="shared" si="65"/>
        <v>0</v>
      </c>
      <c r="R38" s="56">
        <f t="shared" si="65"/>
        <v>0</v>
      </c>
      <c r="S38" s="56">
        <f t="shared" si="65"/>
        <v>0</v>
      </c>
      <c r="T38" s="56">
        <f t="shared" si="65"/>
        <v>0</v>
      </c>
      <c r="U38" s="56">
        <f t="shared" si="65"/>
        <v>0</v>
      </c>
      <c r="V38" s="56">
        <f t="shared" si="65"/>
        <v>0</v>
      </c>
      <c r="W38" s="56">
        <f t="shared" si="65"/>
        <v>0</v>
      </c>
      <c r="X38" s="56">
        <f t="shared" si="65"/>
        <v>0</v>
      </c>
      <c r="Y38" s="56">
        <f t="shared" si="65"/>
        <v>0</v>
      </c>
      <c r="Z38" s="56">
        <f t="shared" si="65"/>
        <v>0</v>
      </c>
      <c r="AA38" s="56">
        <f t="shared" si="65"/>
        <v>0</v>
      </c>
      <c r="AB38" s="56">
        <f t="shared" si="65"/>
        <v>0</v>
      </c>
      <c r="AC38" s="56"/>
      <c r="AD38" s="56">
        <f aca="true" t="shared" si="66" ref="AD38:AO38">AD7+AD36-AD37</f>
        <v>0</v>
      </c>
      <c r="AE38" s="56">
        <f t="shared" si="66"/>
        <v>0</v>
      </c>
      <c r="AF38" s="56">
        <f t="shared" si="66"/>
        <v>0</v>
      </c>
      <c r="AG38" s="56">
        <f t="shared" si="66"/>
        <v>0</v>
      </c>
      <c r="AH38" s="56">
        <f t="shared" si="66"/>
        <v>0</v>
      </c>
      <c r="AI38" s="56">
        <f t="shared" si="66"/>
        <v>0</v>
      </c>
      <c r="AJ38" s="56">
        <f t="shared" si="66"/>
        <v>0</v>
      </c>
      <c r="AK38" s="56">
        <f t="shared" si="66"/>
        <v>0</v>
      </c>
      <c r="AL38" s="56">
        <f t="shared" si="66"/>
        <v>0</v>
      </c>
      <c r="AM38" s="56">
        <f t="shared" si="66"/>
        <v>0</v>
      </c>
      <c r="AN38" s="56">
        <f t="shared" si="66"/>
        <v>0</v>
      </c>
      <c r="AO38" s="56">
        <f t="shared" si="66"/>
        <v>0</v>
      </c>
      <c r="AP38" s="56">
        <f t="shared" si="65"/>
        <v>0</v>
      </c>
      <c r="AQ38" s="56">
        <f t="shared" si="65"/>
        <v>0</v>
      </c>
      <c r="AR38" s="56">
        <f t="shared" si="65"/>
        <v>0</v>
      </c>
      <c r="AS38" s="56">
        <f t="shared" si="65"/>
        <v>0</v>
      </c>
      <c r="AT38" s="56">
        <f t="shared" si="65"/>
        <v>0</v>
      </c>
      <c r="AU38" s="56">
        <f t="shared" si="65"/>
        <v>0</v>
      </c>
      <c r="AV38" s="56">
        <f t="shared" si="65"/>
        <v>0</v>
      </c>
      <c r="AW38" s="56">
        <f t="shared" si="65"/>
        <v>0</v>
      </c>
      <c r="AX38" s="56">
        <f t="shared" si="65"/>
        <v>0</v>
      </c>
      <c r="AY38" s="56">
        <f t="shared" si="65"/>
        <v>0</v>
      </c>
      <c r="AZ38" s="56">
        <f t="shared" si="65"/>
        <v>0</v>
      </c>
      <c r="BA38" s="56">
        <f t="shared" si="65"/>
        <v>0</v>
      </c>
      <c r="BB38" s="56">
        <f t="shared" si="65"/>
        <v>0</v>
      </c>
      <c r="BC38" s="56">
        <f aca="true" t="shared" si="67" ref="BC38:BO38">BC7+BC36-BC37</f>
        <v>0</v>
      </c>
      <c r="BD38" s="56">
        <f t="shared" si="67"/>
        <v>0</v>
      </c>
      <c r="BE38" s="56">
        <f t="shared" si="67"/>
        <v>0</v>
      </c>
      <c r="BF38" s="56">
        <f t="shared" si="67"/>
        <v>0</v>
      </c>
      <c r="BG38" s="56">
        <f t="shared" si="67"/>
        <v>0</v>
      </c>
      <c r="BH38" s="56">
        <f t="shared" si="67"/>
        <v>0</v>
      </c>
      <c r="BI38" s="56">
        <f t="shared" si="67"/>
        <v>0</v>
      </c>
      <c r="BJ38" s="56">
        <f t="shared" si="67"/>
        <v>0</v>
      </c>
      <c r="BK38" s="56">
        <f t="shared" si="67"/>
        <v>0</v>
      </c>
      <c r="BL38" s="56">
        <f t="shared" si="67"/>
        <v>0</v>
      </c>
      <c r="BM38" s="56">
        <f t="shared" si="67"/>
        <v>0</v>
      </c>
      <c r="BN38" s="56">
        <f t="shared" si="67"/>
        <v>0</v>
      </c>
      <c r="BO38" s="56">
        <f t="shared" si="67"/>
        <v>0</v>
      </c>
      <c r="BP38" s="56">
        <f t="shared" si="65"/>
        <v>0</v>
      </c>
      <c r="BQ38" s="56">
        <f t="shared" si="65"/>
        <v>0</v>
      </c>
      <c r="BR38" s="56">
        <f t="shared" si="65"/>
        <v>0</v>
      </c>
      <c r="BS38" s="56">
        <f t="shared" si="65"/>
        <v>0</v>
      </c>
      <c r="BT38" s="56">
        <f t="shared" si="65"/>
        <v>0</v>
      </c>
      <c r="BU38" s="56">
        <f t="shared" si="65"/>
        <v>0</v>
      </c>
      <c r="BV38" s="56">
        <f t="shared" si="65"/>
        <v>0</v>
      </c>
      <c r="BW38" s="56">
        <f t="shared" si="65"/>
        <v>0</v>
      </c>
      <c r="BX38" s="56">
        <f t="shared" si="65"/>
        <v>0</v>
      </c>
      <c r="BY38" s="56">
        <f t="shared" si="65"/>
        <v>0</v>
      </c>
      <c r="BZ38" s="56">
        <f t="shared" si="65"/>
        <v>0</v>
      </c>
      <c r="CA38" s="56">
        <f t="shared" si="65"/>
        <v>0</v>
      </c>
      <c r="CB38" s="56">
        <f t="shared" si="65"/>
        <v>0</v>
      </c>
      <c r="CC38" s="56">
        <f t="shared" si="65"/>
        <v>0</v>
      </c>
      <c r="CD38" s="56">
        <f aca="true" t="shared" si="68" ref="CD38:CO38">CD7+CD36-CD37</f>
        <v>0</v>
      </c>
      <c r="CE38" s="56">
        <f t="shared" si="68"/>
        <v>0</v>
      </c>
      <c r="CF38" s="56">
        <f t="shared" si="68"/>
        <v>0</v>
      </c>
      <c r="CG38" s="56">
        <f t="shared" si="68"/>
        <v>0</v>
      </c>
      <c r="CH38" s="56">
        <f t="shared" si="68"/>
        <v>0</v>
      </c>
      <c r="CI38" s="56">
        <f t="shared" si="68"/>
        <v>0</v>
      </c>
      <c r="CJ38" s="56">
        <f t="shared" si="68"/>
        <v>0</v>
      </c>
      <c r="CK38" s="56">
        <f t="shared" si="68"/>
        <v>0</v>
      </c>
      <c r="CL38" s="56">
        <f t="shared" si="68"/>
        <v>0</v>
      </c>
      <c r="CM38" s="56">
        <f t="shared" si="68"/>
        <v>0</v>
      </c>
      <c r="CN38" s="56">
        <f t="shared" si="68"/>
        <v>0</v>
      </c>
      <c r="CO38" s="56">
        <f t="shared" si="68"/>
        <v>0</v>
      </c>
      <c r="CP38" s="56">
        <f t="shared" si="65"/>
        <v>0</v>
      </c>
      <c r="CQ38" s="63">
        <v>1</v>
      </c>
      <c r="CR38" s="63">
        <f t="shared" si="64"/>
        <v>2</v>
      </c>
      <c r="CS38" s="63">
        <f t="shared" si="64"/>
        <v>3</v>
      </c>
      <c r="CT38" s="63">
        <f t="shared" si="64"/>
        <v>4</v>
      </c>
      <c r="CU38" s="63">
        <f t="shared" si="64"/>
        <v>5</v>
      </c>
      <c r="CV38" s="63">
        <f>CU38+1</f>
        <v>6</v>
      </c>
      <c r="CW38" s="63">
        <f>CV38+1</f>
        <v>7</v>
      </c>
    </row>
    <row r="39" spans="1:101" ht="12.75">
      <c r="A39" s="53" t="s">
        <v>62</v>
      </c>
      <c r="B39" s="64">
        <f>B37-B38</f>
        <v>6.184563972055912E-11</v>
      </c>
      <c r="C39" s="55"/>
      <c r="Q39" s="58"/>
      <c r="AD39" s="58"/>
      <c r="AQ39" s="58"/>
      <c r="BD39" s="58"/>
      <c r="BQ39" s="58"/>
      <c r="CD39" s="58"/>
      <c r="CQ39" s="58">
        <f>P36</f>
        <v>224.47563695652389</v>
      </c>
      <c r="CR39" s="58">
        <f>AC36</f>
        <v>1092.2483347826178</v>
      </c>
      <c r="CS39" s="58">
        <f>AP36</f>
        <v>3122.1688826087025</v>
      </c>
      <c r="CT39" s="58">
        <f>BC36</f>
        <v>4563.097630434791</v>
      </c>
      <c r="CU39" s="58">
        <f>BP36</f>
        <v>6004.026378260873</v>
      </c>
      <c r="CV39" s="58">
        <f>CC36</f>
        <v>7444.955126086961</v>
      </c>
      <c r="CW39" s="58">
        <f>CP36</f>
        <v>9285.571160869575</v>
      </c>
    </row>
    <row r="40" spans="1:101" ht="12.75">
      <c r="A40" s="53" t="s">
        <v>63</v>
      </c>
      <c r="B40" s="55"/>
      <c r="C40" s="55"/>
      <c r="CQ40" s="58">
        <f>CQ39+P34+P33+P17</f>
        <v>2048.6576000000023</v>
      </c>
      <c r="CR40" s="58">
        <f>CR39+AC34+AC33+AC17</f>
        <v>4543.403400000008</v>
      </c>
      <c r="CS40" s="58">
        <f>CS39+AP34+AP33+AP17</f>
        <v>6310.378800000005</v>
      </c>
      <c r="CT40" s="58">
        <f>CT39+BC34+BC33+BC17</f>
        <v>7488.362400000006</v>
      </c>
      <c r="CU40" s="58">
        <f>CU39+BP34+BP33+BP17</f>
        <v>8666.346</v>
      </c>
      <c r="CV40" s="58">
        <f>CV39+CC34+CC33+CC17</f>
        <v>9844.329600000001</v>
      </c>
      <c r="CW40" s="58">
        <f>CW39+CP33+CP34+CP17</f>
        <v>9844.329600000006</v>
      </c>
    </row>
    <row r="41" spans="1:101" ht="12.75">
      <c r="A41" s="53" t="s">
        <v>64</v>
      </c>
      <c r="B41" s="55"/>
      <c r="C41" s="55"/>
      <c r="V41" s="58"/>
      <c r="AI41" s="58"/>
      <c r="AV41" s="58"/>
      <c r="BI41" s="58"/>
      <c r="BV41" s="58"/>
      <c r="CI41" s="58"/>
      <c r="CQ41" s="58">
        <f>P29</f>
        <v>16167.7997</v>
      </c>
      <c r="CR41" s="58">
        <f>AC29</f>
        <v>0</v>
      </c>
      <c r="CS41" s="58"/>
      <c r="CT41" s="58"/>
      <c r="CU41" s="58"/>
      <c r="CV41" s="58"/>
      <c r="CW41" s="58"/>
    </row>
    <row r="42" spans="1:101" ht="12.75">
      <c r="A42" s="65" t="s">
        <v>65</v>
      </c>
      <c r="B42" s="55"/>
      <c r="C42" s="55"/>
      <c r="CQ42" s="66">
        <f>CQ40-CQ41</f>
        <v>-14119.142099999997</v>
      </c>
      <c r="CR42" s="66">
        <f aca="true" t="shared" si="69" ref="CR42:CW42">CR40-CR41</f>
        <v>4543.403400000008</v>
      </c>
      <c r="CS42" s="66">
        <f t="shared" si="69"/>
        <v>6310.378800000005</v>
      </c>
      <c r="CT42" s="66">
        <f t="shared" si="69"/>
        <v>7488.362400000006</v>
      </c>
      <c r="CU42" s="66">
        <f t="shared" si="69"/>
        <v>8666.346</v>
      </c>
      <c r="CV42" s="66">
        <f t="shared" si="69"/>
        <v>9844.329600000001</v>
      </c>
      <c r="CW42" s="66">
        <f t="shared" si="69"/>
        <v>9844.329600000006</v>
      </c>
    </row>
    <row r="43" spans="1:101" ht="12.75">
      <c r="A43" s="67" t="s">
        <v>66</v>
      </c>
      <c r="B43" s="55"/>
      <c r="C43" s="55"/>
      <c r="CQ43" s="68">
        <f>CQ42/(1+Исх!$C$7)^'1-Ф3'!CQ38</f>
        <v>-12424.961651653954</v>
      </c>
      <c r="CR43" s="68">
        <f>CR42/(1+Исх!$C$7)^'1-Ф3'!CR38</f>
        <v>3518.4776318637287</v>
      </c>
      <c r="CS43" s="68">
        <f>CS42/(1+Исх!$C$7)^'1-Ф3'!CS38</f>
        <v>4300.467535332859</v>
      </c>
      <c r="CT43" s="68">
        <f>CT42/(1+Исх!$C$7)^'1-Ф3'!CT38</f>
        <v>4490.904764803587</v>
      </c>
      <c r="CU43" s="68">
        <f>CU42/(1+Исх!$C$7)^'1-Ф3'!CU38</f>
        <v>4573.721995621574</v>
      </c>
      <c r="CV43" s="68">
        <f>CV42/(1+Исх!$C$7)^'1-Ф3'!CV38</f>
        <v>4572.004331232176</v>
      </c>
      <c r="CW43" s="68">
        <f>CW42/(1+Исх!$C$7)^'1-Ф3'!CW38</f>
        <v>4023.4015696148854</v>
      </c>
    </row>
    <row r="44" spans="1:101" ht="12.75">
      <c r="A44" s="65" t="s">
        <v>67</v>
      </c>
      <c r="B44" s="55"/>
      <c r="C44" s="55"/>
      <c r="CQ44" s="66">
        <f>CQ42</f>
        <v>-14119.142099999997</v>
      </c>
      <c r="CR44" s="66">
        <f aca="true" t="shared" si="70" ref="CR44:CU45">CQ44+CR42</f>
        <v>-9575.738699999989</v>
      </c>
      <c r="CS44" s="66">
        <f t="shared" si="70"/>
        <v>-3265.359899999984</v>
      </c>
      <c r="CT44" s="66">
        <f t="shared" si="70"/>
        <v>4223.002500000022</v>
      </c>
      <c r="CU44" s="66">
        <f t="shared" si="70"/>
        <v>12889.348500000022</v>
      </c>
      <c r="CV44" s="66">
        <f>CU44+CV42</f>
        <v>22733.678100000023</v>
      </c>
      <c r="CW44" s="66">
        <f>CV44+CW42</f>
        <v>32578.00770000003</v>
      </c>
    </row>
    <row r="45" spans="1:101" ht="12.75">
      <c r="A45" s="67" t="s">
        <v>68</v>
      </c>
      <c r="B45" s="55"/>
      <c r="C45" s="55"/>
      <c r="CQ45" s="68">
        <f>CQ43</f>
        <v>-12424.961651653954</v>
      </c>
      <c r="CR45" s="68">
        <f t="shared" si="70"/>
        <v>-8906.484019790225</v>
      </c>
      <c r="CS45" s="68">
        <f t="shared" si="70"/>
        <v>-4606.016484457366</v>
      </c>
      <c r="CT45" s="68">
        <f t="shared" si="70"/>
        <v>-115.11171965377889</v>
      </c>
      <c r="CU45" s="68">
        <f t="shared" si="70"/>
        <v>4458.610275967795</v>
      </c>
      <c r="CV45" s="68">
        <f>CU45+CV43</f>
        <v>9030.614607199972</v>
      </c>
      <c r="CW45" s="68">
        <f>CV45+CW43</f>
        <v>13054.016176814857</v>
      </c>
    </row>
    <row r="46" spans="1:101" ht="12.75">
      <c r="A46" s="53" t="s">
        <v>69</v>
      </c>
      <c r="B46" s="55"/>
      <c r="C46" s="55"/>
      <c r="CQ46" s="58">
        <f>NPV(Исх!$C$7,'1-Ф3'!$CQ40:CQ40)</f>
        <v>1802.8356069431059</v>
      </c>
      <c r="CR46" s="58">
        <f>NPV(Исх!$C$7,'1-Ф3'!$CQ40:CR40)</f>
        <v>5321.313238806835</v>
      </c>
      <c r="CS46" s="58">
        <f>NPV(Исх!$C$7,'1-Ф3'!$CQ40:CS40)</f>
        <v>9621.780774139694</v>
      </c>
      <c r="CT46" s="58">
        <f>NPV(Исх!$C$7,'1-Ф3'!$CQ40:CT40)</f>
        <v>14112.68553894328</v>
      </c>
      <c r="CU46" s="58">
        <f>NPV(Исх!$C$7,'1-Ф3'!$CQ40:CU40)</f>
        <v>18686.407534564856</v>
      </c>
      <c r="CV46" s="58">
        <f>NPV(Исх!$C$7,'1-Ф3'!$CQ40:CV40)</f>
        <v>23258.411865797032</v>
      </c>
      <c r="CW46" s="58">
        <f>NPV(Исх!$C$7,'1-Ф3'!$CQ40:CW40)</f>
        <v>27281.813435411917</v>
      </c>
    </row>
    <row r="47" spans="1:101" ht="12.75">
      <c r="A47" s="53" t="s">
        <v>70</v>
      </c>
      <c r="B47" s="55"/>
      <c r="C47" s="55"/>
      <c r="CQ47" s="58">
        <f>NPV(Исх!$C$7,'1-Ф3'!$CQ41:CQ41)</f>
        <v>14227.797258597058</v>
      </c>
      <c r="CR47" s="58">
        <f>NPV(Исх!$C$7,'1-Ф3'!$CQ41:CR41)</f>
        <v>14227.797258597058</v>
      </c>
      <c r="CS47" s="58">
        <f>NPV(Исх!$C$7,'1-Ф3'!$CQ41:CS41)</f>
        <v>14227.797258597058</v>
      </c>
      <c r="CT47" s="58">
        <f>NPV(Исх!$C$7,'1-Ф3'!$CQ41:CT41)</f>
        <v>14227.797258597058</v>
      </c>
      <c r="CU47" s="58">
        <f>NPV(Исх!$C$7,'1-Ф3'!$CQ41:CU41)</f>
        <v>14227.797258597058</v>
      </c>
      <c r="CV47" s="58">
        <f>NPV(Исх!$C$7,'1-Ф3'!$CQ41:CV41)</f>
        <v>14227.797258597058</v>
      </c>
      <c r="CW47" s="58">
        <f>NPV(Исх!$C$7,'1-Ф3'!$CQ41:CW41)</f>
        <v>14227.797258597058</v>
      </c>
    </row>
    <row r="48" spans="1:101" ht="12.75">
      <c r="A48" s="53" t="s">
        <v>71</v>
      </c>
      <c r="B48" s="55"/>
      <c r="C48" s="55"/>
      <c r="CQ48" s="58">
        <f aca="true" t="shared" si="71" ref="CQ48:CW48">CQ46-CQ47</f>
        <v>-12424.961651653952</v>
      </c>
      <c r="CR48" s="58">
        <f t="shared" si="71"/>
        <v>-8906.484019790223</v>
      </c>
      <c r="CS48" s="58">
        <f t="shared" si="71"/>
        <v>-4606.016484457365</v>
      </c>
      <c r="CT48" s="58">
        <f t="shared" si="71"/>
        <v>-115.11171965377798</v>
      </c>
      <c r="CU48" s="58">
        <f t="shared" si="71"/>
        <v>4458.610275967798</v>
      </c>
      <c r="CV48" s="58">
        <f t="shared" si="71"/>
        <v>9030.614607199974</v>
      </c>
      <c r="CW48" s="58">
        <f t="shared" si="71"/>
        <v>13054.01617681486</v>
      </c>
    </row>
    <row r="49" spans="1:101" ht="12.75">
      <c r="A49" s="53" t="s">
        <v>72</v>
      </c>
      <c r="B49" s="55"/>
      <c r="C49" s="55"/>
      <c r="CQ49" s="69">
        <f aca="true" t="shared" si="72" ref="CQ49:CW49">CQ46/CQ47</f>
        <v>0.12671220809347375</v>
      </c>
      <c r="CR49" s="69">
        <f t="shared" si="72"/>
        <v>0.3740082278436646</v>
      </c>
      <c r="CS49" s="69">
        <f t="shared" si="72"/>
        <v>0.6762663678192203</v>
      </c>
      <c r="CT49" s="69">
        <f t="shared" si="72"/>
        <v>0.9919093786928808</v>
      </c>
      <c r="CU49" s="69">
        <f t="shared" si="72"/>
        <v>1.3133731943835305</v>
      </c>
      <c r="CV49" s="69">
        <f t="shared" si="72"/>
        <v>1.6347162841207399</v>
      </c>
      <c r="CW49" s="69">
        <f t="shared" si="72"/>
        <v>1.9175008569177532</v>
      </c>
    </row>
    <row r="50" spans="1:101" ht="12.75">
      <c r="A50" s="53" t="s">
        <v>73</v>
      </c>
      <c r="B50" s="55"/>
      <c r="C50" s="55"/>
      <c r="CP50" s="70" t="str">
        <f>IF(ISERROR(IRR($CQ42:CQ$42))," ",IF(IRR($CQ42:CQ$42)&lt;0," ",IRR($CQ42:CQ$42)))</f>
        <v> </v>
      </c>
      <c r="CQ50" s="70" t="str">
        <f>IF(ISERROR(IRR($CQ42:CQ$42))," ",IF(IRR($CQ42:CQ$42)&lt;0," ",IRR($CQ42:CQ$42)))</f>
        <v> </v>
      </c>
      <c r="CR50" s="70" t="str">
        <f>IF(ISERROR(IRR($CQ42:CR$42))," ",IF(IRR($CQ42:CR$42)&lt;0," ",IRR($CQ42:CR$42)))</f>
        <v> </v>
      </c>
      <c r="CS50" s="70" t="str">
        <f>IF(ISERROR(IRR($CQ42:CS$42))," ",IF(IRR($CQ42:CS$42)&lt;0," ",IRR($CQ42:CS$42)))</f>
        <v> </v>
      </c>
      <c r="CT50" s="70">
        <f>IF(ISERROR(IRR($CQ42:CT$42))," ",IF(IRR($CQ42:CT$42)&lt;0," ",IRR($CQ42:CT$42)))</f>
        <v>0.13128036072833116</v>
      </c>
      <c r="CU50" s="70">
        <f>IF(ISERROR(IRR($CQ42:CU$42))," ",IF(IRR($CQ42:CU$42)&lt;0," ",IRR($CQ42:CU$42)))</f>
        <v>0.2829913270381468</v>
      </c>
      <c r="CV50" s="70">
        <f>IF(ISERROR(IRR($CQ42:CV$42))," ",IF(IRR($CQ42:CV$42)&lt;0," ",IRR($CQ42:CV$42)))</f>
        <v>0.36899403462832137</v>
      </c>
      <c r="CW50" s="70">
        <f>IF(ISERROR(IRR($CQ42:CW$42))," ",IF(IRR($CQ42:CW$42)&lt;0," ",IRR($CQ42:CW$42)))</f>
        <v>0.4153423240563204</v>
      </c>
    </row>
    <row r="51" spans="1:3" ht="12.75">
      <c r="A51" s="71" t="s">
        <v>35</v>
      </c>
      <c r="B51" s="59">
        <f>CS38-CS44/CT42-4/12</f>
        <v>3.1027246090547087</v>
      </c>
      <c r="C51" s="55"/>
    </row>
    <row r="52" spans="1:3" ht="12.75">
      <c r="A52" s="71" t="s">
        <v>29</v>
      </c>
      <c r="B52" s="59">
        <f>CT38-CT45/CU43-4/12</f>
        <v>3.691834728862833</v>
      </c>
      <c r="C52" s="55"/>
    </row>
    <row r="53" spans="1:3" ht="12.75">
      <c r="A53" s="53"/>
      <c r="B53" s="55"/>
      <c r="C53" s="55"/>
    </row>
    <row r="54" spans="1:3" ht="12.75">
      <c r="A54" s="53"/>
      <c r="B54" s="55"/>
      <c r="C54" s="55"/>
    </row>
    <row r="55" spans="1:3" ht="12.75">
      <c r="A55" s="53"/>
      <c r="B55" s="55"/>
      <c r="C55" s="55"/>
    </row>
    <row r="56" spans="1:3" ht="12.75">
      <c r="A56" s="53"/>
      <c r="B56" s="55"/>
      <c r="C56" s="55"/>
    </row>
    <row r="57" spans="1:3" ht="12.75">
      <c r="A57" s="53"/>
      <c r="B57" s="55"/>
      <c r="C57" s="55"/>
    </row>
    <row r="58" spans="1:3" ht="12.75">
      <c r="A58" s="53"/>
      <c r="B58" s="55"/>
      <c r="C58" s="55"/>
    </row>
    <row r="59" spans="1:3" ht="12.75">
      <c r="A59" s="53"/>
      <c r="B59" s="55"/>
      <c r="C59" s="55"/>
    </row>
    <row r="60" spans="1:3" ht="12.75">
      <c r="A60" s="53"/>
      <c r="B60" s="55"/>
      <c r="C60" s="55"/>
    </row>
    <row r="61" spans="1:3" ht="12.75">
      <c r="A61" s="53"/>
      <c r="B61" s="55"/>
      <c r="C61" s="55"/>
    </row>
    <row r="62" spans="1:3" ht="12.75">
      <c r="A62" s="53"/>
      <c r="B62" s="55"/>
      <c r="C62" s="55"/>
    </row>
    <row r="63" spans="1:3" ht="12.75">
      <c r="A63" s="53"/>
      <c r="B63" s="55"/>
      <c r="C63" s="55"/>
    </row>
    <row r="64" spans="1:3" ht="12.75">
      <c r="A64" s="53"/>
      <c r="B64" s="55"/>
      <c r="C64" s="55"/>
    </row>
    <row r="65" spans="1:93" ht="12.75">
      <c r="A65" s="53"/>
      <c r="B65" s="55"/>
      <c r="C65" s="5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</row>
    <row r="66" spans="1:93" ht="12.75">
      <c r="A66" s="53"/>
      <c r="B66" s="55"/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</row>
    <row r="67" spans="1:93" ht="12.75">
      <c r="A67" s="53"/>
      <c r="B67" s="55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</row>
    <row r="68" spans="1:93" ht="12.75">
      <c r="A68" s="53"/>
      <c r="B68" s="55"/>
      <c r="C68" s="5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</row>
    <row r="69" spans="1:93" ht="12.75">
      <c r="A69" s="53"/>
      <c r="B69" s="55"/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</row>
    <row r="70" spans="1:93" ht="12.75">
      <c r="A70" s="53"/>
      <c r="B70" s="55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</row>
    <row r="71" spans="1:93" ht="12.75">
      <c r="A71" s="53"/>
      <c r="B71" s="55"/>
      <c r="C71" s="5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</row>
    <row r="72" spans="1:93" ht="12.75">
      <c r="A72" s="53"/>
      <c r="B72" s="55"/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</row>
    <row r="73" spans="1:93" ht="12.75">
      <c r="A73" s="53"/>
      <c r="B73" s="55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</row>
    <row r="74" spans="1:93" ht="12.75">
      <c r="A74" s="53"/>
      <c r="B74" s="55"/>
      <c r="C74" s="5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</row>
    <row r="75" spans="1:93" ht="12.75">
      <c r="A75" s="53"/>
      <c r="B75" s="55"/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</row>
    <row r="76" spans="1:93" ht="12.75">
      <c r="A76" s="53"/>
      <c r="B76" s="55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</row>
    <row r="77" spans="1:93" ht="12.75">
      <c r="A77" s="53"/>
      <c r="B77" s="55"/>
      <c r="C77" s="5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</row>
    <row r="78" spans="1:93" ht="12.75">
      <c r="A78" s="53"/>
      <c r="B78" s="55"/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</row>
    <row r="79" spans="1:93" ht="12.75">
      <c r="A79" s="53"/>
      <c r="B79" s="55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</row>
    <row r="80" spans="1:93" ht="12.75">
      <c r="A80" s="53"/>
      <c r="B80" s="55"/>
      <c r="C80" s="5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</row>
    <row r="81" spans="1:93" ht="12.75">
      <c r="A81" s="53"/>
      <c r="B81" s="55"/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</row>
    <row r="82" spans="1:93" ht="12.75">
      <c r="A82" s="53"/>
      <c r="B82" s="55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</row>
    <row r="83" spans="1:93" ht="12.75">
      <c r="A83" s="53"/>
      <c r="B83" s="55"/>
      <c r="C83" s="5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</row>
    <row r="84" spans="1:93" ht="12.75">
      <c r="A84" s="53"/>
      <c r="B84" s="55"/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</row>
    <row r="85" spans="1:93" ht="12.75">
      <c r="A85" s="53"/>
      <c r="B85" s="55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</row>
    <row r="86" spans="1:93" ht="12.75">
      <c r="A86" s="53"/>
      <c r="B86" s="55"/>
      <c r="C86" s="5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</row>
    <row r="87" spans="1:93" ht="12.75">
      <c r="A87" s="53"/>
      <c r="B87" s="55"/>
      <c r="C87" s="5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</row>
    <row r="88" spans="1:93" ht="12.75">
      <c r="A88" s="53"/>
      <c r="B88" s="55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</row>
    <row r="89" spans="1:93" ht="12.75">
      <c r="A89" s="53"/>
      <c r="B89" s="55"/>
      <c r="C89" s="5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</row>
    <row r="90" spans="1:93" ht="12.75">
      <c r="A90" s="53"/>
      <c r="B90" s="55"/>
      <c r="C90" s="5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</row>
    <row r="91" spans="1:93" ht="12.75">
      <c r="A91" s="53"/>
      <c r="B91" s="55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</row>
    <row r="92" spans="1:93" ht="12.75">
      <c r="A92" s="53"/>
      <c r="B92" s="55"/>
      <c r="C92" s="5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</row>
    <row r="93" spans="1:93" ht="12.75">
      <c r="A93" s="53"/>
      <c r="B93" s="55"/>
      <c r="C93" s="5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</row>
    <row r="94" spans="1:93" ht="12.75">
      <c r="A94" s="53"/>
      <c r="B94" s="55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</row>
    <row r="95" spans="1:93" ht="12.75">
      <c r="A95" s="53"/>
      <c r="B95" s="55"/>
      <c r="C95" s="5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</row>
    <row r="96" spans="1:93" ht="12.75">
      <c r="A96" s="53"/>
      <c r="B96" s="55"/>
      <c r="C96" s="5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</row>
    <row r="97" spans="1:93" ht="12.75">
      <c r="A97" s="53"/>
      <c r="B97" s="55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</row>
    <row r="98" spans="1:93" ht="12.75">
      <c r="A98" s="53"/>
      <c r="B98" s="55"/>
      <c r="C98" s="5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</row>
    <row r="99" spans="1:93" ht="12.75">
      <c r="A99" s="53"/>
      <c r="B99" s="55"/>
      <c r="C99" s="5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</row>
    <row r="100" spans="1:93" ht="12.75">
      <c r="A100" s="53"/>
      <c r="B100" s="55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</row>
    <row r="101" spans="1:93" ht="12.75">
      <c r="A101" s="53"/>
      <c r="B101" s="55"/>
      <c r="C101" s="5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</row>
    <row r="102" spans="1:93" ht="12.75">
      <c r="A102" s="53"/>
      <c r="B102" s="55"/>
      <c r="C102" s="5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</row>
    <row r="103" spans="1:93" ht="12.75">
      <c r="A103" s="53"/>
      <c r="B103" s="55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</row>
    <row r="104" spans="1:93" ht="12.75">
      <c r="A104" s="53"/>
      <c r="B104" s="55"/>
      <c r="C104" s="5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</row>
    <row r="105" spans="1:93" ht="12.75">
      <c r="A105" s="53"/>
      <c r="B105" s="55"/>
      <c r="C105" s="5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</row>
    <row r="106" spans="1:93" ht="12.75">
      <c r="A106" s="53"/>
      <c r="B106" s="55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</row>
    <row r="107" spans="1:93" ht="12.75">
      <c r="A107" s="53"/>
      <c r="B107" s="55"/>
      <c r="C107" s="5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</row>
    <row r="108" spans="1:93" ht="12.75">
      <c r="A108" s="53"/>
      <c r="B108" s="55"/>
      <c r="C108" s="5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</row>
    <row r="109" spans="1:93" ht="12.75">
      <c r="A109" s="53"/>
      <c r="B109" s="55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</row>
    <row r="110" spans="1:93" ht="12.75">
      <c r="A110" s="53"/>
      <c r="B110" s="55"/>
      <c r="C110" s="5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</row>
    <row r="111" spans="1:93" ht="12.75">
      <c r="A111" s="53"/>
      <c r="B111" s="55"/>
      <c r="C111" s="5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</row>
    <row r="112" spans="1:93" ht="12.75">
      <c r="A112" s="53"/>
      <c r="B112" s="55"/>
      <c r="C112" s="5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</row>
    <row r="113" spans="1:93" ht="12.75">
      <c r="A113" s="53"/>
      <c r="B113" s="55"/>
      <c r="C113" s="5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</row>
    <row r="114" spans="1:93" ht="12.75">
      <c r="A114" s="53"/>
      <c r="B114" s="55"/>
      <c r="C114" s="5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</row>
    <row r="115" spans="1:93" ht="12.75">
      <c r="A115" s="53"/>
      <c r="B115" s="55"/>
      <c r="C115" s="5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</row>
    <row r="116" spans="1:93" ht="12.75">
      <c r="A116" s="53"/>
      <c r="B116" s="55"/>
      <c r="C116" s="5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</row>
    <row r="117" spans="1:93" ht="12.75">
      <c r="A117" s="53"/>
      <c r="B117" s="55"/>
      <c r="C117" s="5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</row>
    <row r="118" spans="1:93" ht="12.75">
      <c r="A118" s="53"/>
      <c r="B118" s="55"/>
      <c r="C118" s="5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</row>
    <row r="119" spans="1:93" ht="12.75">
      <c r="A119" s="53"/>
      <c r="B119" s="55"/>
      <c r="C119" s="5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</row>
    <row r="120" spans="1:93" ht="12.75">
      <c r="A120" s="53"/>
      <c r="B120" s="55"/>
      <c r="C120" s="5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</row>
    <row r="121" spans="1:93" ht="12.75">
      <c r="A121" s="53"/>
      <c r="B121" s="55"/>
      <c r="C121" s="5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</row>
    <row r="122" spans="1:93" ht="12.75">
      <c r="A122" s="53"/>
      <c r="B122" s="55"/>
      <c r="C122" s="5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</row>
    <row r="123" spans="1:93" ht="12.75">
      <c r="A123" s="53"/>
      <c r="B123" s="55"/>
      <c r="C123" s="5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</row>
    <row r="124" spans="1:93" ht="12.75">
      <c r="A124" s="53"/>
      <c r="B124" s="55"/>
      <c r="C124" s="5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</row>
    <row r="125" spans="1:93" ht="12.75">
      <c r="A125" s="53"/>
      <c r="B125" s="55"/>
      <c r="C125" s="5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</row>
    <row r="126" spans="1:93" ht="12.75">
      <c r="A126" s="53"/>
      <c r="B126" s="55"/>
      <c r="C126" s="5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</row>
    <row r="127" spans="1:93" ht="12.75">
      <c r="A127" s="53"/>
      <c r="B127" s="55"/>
      <c r="C127" s="5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</row>
    <row r="128" spans="1:93" ht="12.75">
      <c r="A128" s="53"/>
      <c r="B128" s="55"/>
      <c r="C128" s="5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</row>
    <row r="129" spans="1:93" ht="12.75">
      <c r="A129" s="53"/>
      <c r="B129" s="55"/>
      <c r="C129" s="5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</row>
    <row r="130" spans="1:93" ht="12.75">
      <c r="A130" s="53"/>
      <c r="B130" s="55"/>
      <c r="C130" s="5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</row>
    <row r="131" spans="1:93" ht="12.75">
      <c r="A131" s="53"/>
      <c r="B131" s="55"/>
      <c r="C131" s="5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</row>
    <row r="132" spans="1:93" ht="12.75">
      <c r="A132" s="53"/>
      <c r="B132" s="55"/>
      <c r="C132" s="5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</row>
    <row r="133" spans="1:93" ht="12.75">
      <c r="A133" s="53"/>
      <c r="B133" s="55"/>
      <c r="C133" s="5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</row>
    <row r="134" spans="1:93" ht="12.75">
      <c r="A134" s="53"/>
      <c r="B134" s="55"/>
      <c r="C134" s="5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</row>
    <row r="135" spans="1:93" ht="12.75">
      <c r="A135" s="53"/>
      <c r="B135" s="55"/>
      <c r="C135" s="55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</row>
    <row r="136" spans="1:93" ht="12.75">
      <c r="A136" s="53"/>
      <c r="B136" s="55"/>
      <c r="C136" s="5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</row>
    <row r="137" spans="1:93" ht="12.75">
      <c r="A137" s="53"/>
      <c r="B137" s="55"/>
      <c r="C137" s="5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</row>
    <row r="138" spans="1:93" ht="12.75">
      <c r="A138" s="53"/>
      <c r="B138" s="55"/>
      <c r="C138" s="55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</row>
    <row r="139" spans="1:93" ht="12.75">
      <c r="A139" s="53"/>
      <c r="B139" s="55"/>
      <c r="C139" s="5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</row>
    <row r="140" spans="1:93" ht="12.75">
      <c r="A140" s="53"/>
      <c r="B140" s="55"/>
      <c r="C140" s="55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</row>
    <row r="141" spans="1:93" ht="12.75">
      <c r="A141" s="53"/>
      <c r="B141" s="55"/>
      <c r="C141" s="5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</row>
    <row r="142" spans="1:93" ht="12.75">
      <c r="A142" s="53"/>
      <c r="B142" s="55"/>
      <c r="C142" s="55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</row>
    <row r="143" spans="1:93" ht="12.75">
      <c r="A143" s="53"/>
      <c r="B143" s="55"/>
      <c r="C143" s="55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</row>
    <row r="144" spans="1:93" ht="12.75">
      <c r="A144" s="53"/>
      <c r="B144" s="55"/>
      <c r="C144" s="55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</row>
  </sheetData>
  <sheetProtection/>
  <mergeCells count="9">
    <mergeCell ref="BD5:BP5"/>
    <mergeCell ref="BQ5:CC5"/>
    <mergeCell ref="CD5:CP5"/>
    <mergeCell ref="A5:A6"/>
    <mergeCell ref="B5:B6"/>
    <mergeCell ref="D5:P5"/>
    <mergeCell ref="Q5:AC5"/>
    <mergeCell ref="AD5:AP5"/>
    <mergeCell ref="AQ5:BC5"/>
  </mergeCells>
  <printOptions/>
  <pageMargins left="0.4330708661417323" right="0.2755905511811024" top="0.71" bottom="0.35433070866141736" header="0.44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CP17"/>
  <sheetViews>
    <sheetView showGridLines="0" zoomScalePageLayoutView="0" workbookViewId="0" topLeftCell="A1">
      <pane xSplit="2" ySplit="6" topLeftCell="C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O21" sqref="AO21"/>
    </sheetView>
  </sheetViews>
  <sheetFormatPr defaultColWidth="9.00390625" defaultRowHeight="12.75" outlineLevelCol="1"/>
  <cols>
    <col min="1" max="1" width="23.25390625" style="179" customWidth="1"/>
    <col min="2" max="2" width="12.125" style="179" customWidth="1"/>
    <col min="3" max="14" width="9.125" style="179" hidden="1" customWidth="1" outlineLevel="1"/>
    <col min="15" max="15" width="10.125" style="180" bestFit="1" customWidth="1" collapsed="1"/>
    <col min="16" max="27" width="9.125" style="179" hidden="1" customWidth="1" outlineLevel="1"/>
    <col min="28" max="28" width="10.125" style="180" bestFit="1" customWidth="1" collapsed="1"/>
    <col min="29" max="40" width="9.125" style="179" hidden="1" customWidth="1" outlineLevel="1"/>
    <col min="41" max="41" width="10.125" style="180" bestFit="1" customWidth="1" collapsed="1"/>
    <col min="42" max="47" width="9.125" style="179" hidden="1" customWidth="1" outlineLevel="1"/>
    <col min="48" max="48" width="9.25390625" style="179" hidden="1" customWidth="1" outlineLevel="1"/>
    <col min="49" max="53" width="8.75390625" style="179" hidden="1" customWidth="1" outlineLevel="1"/>
    <col min="54" max="54" width="10.125" style="180" bestFit="1" customWidth="1" collapsed="1"/>
    <col min="55" max="66" width="8.75390625" style="179" hidden="1" customWidth="1" outlineLevel="1"/>
    <col min="67" max="67" width="10.125" style="180" bestFit="1" customWidth="1" collapsed="1"/>
    <col min="68" max="79" width="8.75390625" style="179" hidden="1" customWidth="1" outlineLevel="1"/>
    <col min="80" max="80" width="10.125" style="180" bestFit="1" customWidth="1" collapsed="1"/>
    <col min="81" max="92" width="8.75390625" style="179" hidden="1" customWidth="1" outlineLevel="1"/>
    <col min="93" max="93" width="10.125" style="180" bestFit="1" customWidth="1" collapsed="1"/>
    <col min="94" max="16384" width="9.125" style="179" customWidth="1"/>
  </cols>
  <sheetData>
    <row r="1" ht="9.75" customHeight="1"/>
    <row r="2" spans="1:15" ht="18.75" customHeight="1">
      <c r="A2" s="180" t="s">
        <v>102</v>
      </c>
      <c r="B2" s="181"/>
      <c r="D2" s="182"/>
      <c r="E2" s="182"/>
      <c r="F2" s="183"/>
      <c r="G2" s="182"/>
      <c r="O2" s="184"/>
    </row>
    <row r="3" spans="1:15" ht="13.5" customHeight="1">
      <c r="A3" s="185"/>
      <c r="B3" s="181"/>
      <c r="D3" s="182"/>
      <c r="E3" s="182"/>
      <c r="F3" s="183"/>
      <c r="G3" s="182"/>
      <c r="O3" s="184"/>
    </row>
    <row r="4" spans="1:2" ht="12.75">
      <c r="A4" s="186"/>
      <c r="B4" s="187"/>
    </row>
    <row r="5" spans="1:93" ht="15.75" customHeight="1">
      <c r="A5" s="188" t="s">
        <v>11</v>
      </c>
      <c r="B5" s="189">
        <f>Исх!C30</f>
        <v>0.12</v>
      </c>
      <c r="C5" s="306">
        <v>2012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>
        <v>2013</v>
      </c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>
        <v>2014</v>
      </c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>
        <v>2015</v>
      </c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>
        <v>2016</v>
      </c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>
        <v>2017</v>
      </c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>
        <v>2018</v>
      </c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</row>
    <row r="6" spans="1:93" s="194" customFormat="1" ht="15" customHeight="1">
      <c r="A6" s="190" t="s">
        <v>9</v>
      </c>
      <c r="B6" s="191" t="s">
        <v>12</v>
      </c>
      <c r="C6" s="192">
        <v>1</v>
      </c>
      <c r="D6" s="192">
        <v>2</v>
      </c>
      <c r="E6" s="192">
        <f>D6+1</f>
        <v>3</v>
      </c>
      <c r="F6" s="192">
        <f aca="true" t="shared" si="0" ref="F6:N6">E6+1</f>
        <v>4</v>
      </c>
      <c r="G6" s="192">
        <f t="shared" si="0"/>
        <v>5</v>
      </c>
      <c r="H6" s="192">
        <f t="shared" si="0"/>
        <v>6</v>
      </c>
      <c r="I6" s="192">
        <f t="shared" si="0"/>
        <v>7</v>
      </c>
      <c r="J6" s="192">
        <f t="shared" si="0"/>
        <v>8</v>
      </c>
      <c r="K6" s="192">
        <f t="shared" si="0"/>
        <v>9</v>
      </c>
      <c r="L6" s="192">
        <f t="shared" si="0"/>
        <v>10</v>
      </c>
      <c r="M6" s="192">
        <f t="shared" si="0"/>
        <v>11</v>
      </c>
      <c r="N6" s="192">
        <f t="shared" si="0"/>
        <v>12</v>
      </c>
      <c r="O6" s="193" t="s">
        <v>1</v>
      </c>
      <c r="P6" s="192">
        <v>1</v>
      </c>
      <c r="Q6" s="192">
        <v>2</v>
      </c>
      <c r="R6" s="192">
        <f>Q6+1</f>
        <v>3</v>
      </c>
      <c r="S6" s="192">
        <f aca="true" t="shared" si="1" ref="S6:AA6">R6+1</f>
        <v>4</v>
      </c>
      <c r="T6" s="192">
        <f t="shared" si="1"/>
        <v>5</v>
      </c>
      <c r="U6" s="192">
        <f t="shared" si="1"/>
        <v>6</v>
      </c>
      <c r="V6" s="192">
        <f t="shared" si="1"/>
        <v>7</v>
      </c>
      <c r="W6" s="192">
        <f t="shared" si="1"/>
        <v>8</v>
      </c>
      <c r="X6" s="192">
        <f t="shared" si="1"/>
        <v>9</v>
      </c>
      <c r="Y6" s="192">
        <f t="shared" si="1"/>
        <v>10</v>
      </c>
      <c r="Z6" s="192">
        <f t="shared" si="1"/>
        <v>11</v>
      </c>
      <c r="AA6" s="192">
        <f t="shared" si="1"/>
        <v>12</v>
      </c>
      <c r="AB6" s="193" t="s">
        <v>1</v>
      </c>
      <c r="AC6" s="192">
        <v>1</v>
      </c>
      <c r="AD6" s="192">
        <v>2</v>
      </c>
      <c r="AE6" s="192">
        <f aca="true" t="shared" si="2" ref="AE6:BN6">AD6+1</f>
        <v>3</v>
      </c>
      <c r="AF6" s="192">
        <f t="shared" si="2"/>
        <v>4</v>
      </c>
      <c r="AG6" s="192">
        <f t="shared" si="2"/>
        <v>5</v>
      </c>
      <c r="AH6" s="192">
        <f t="shared" si="2"/>
        <v>6</v>
      </c>
      <c r="AI6" s="192">
        <f t="shared" si="2"/>
        <v>7</v>
      </c>
      <c r="AJ6" s="192">
        <f t="shared" si="2"/>
        <v>8</v>
      </c>
      <c r="AK6" s="192">
        <f t="shared" si="2"/>
        <v>9</v>
      </c>
      <c r="AL6" s="192">
        <f t="shared" si="2"/>
        <v>10</v>
      </c>
      <c r="AM6" s="192">
        <f t="shared" si="2"/>
        <v>11</v>
      </c>
      <c r="AN6" s="192">
        <f t="shared" si="2"/>
        <v>12</v>
      </c>
      <c r="AO6" s="193" t="s">
        <v>1</v>
      </c>
      <c r="AP6" s="192">
        <v>1</v>
      </c>
      <c r="AQ6" s="192">
        <v>2</v>
      </c>
      <c r="AR6" s="192">
        <f>AQ6+1</f>
        <v>3</v>
      </c>
      <c r="AS6" s="192">
        <f t="shared" si="2"/>
        <v>4</v>
      </c>
      <c r="AT6" s="192">
        <f t="shared" si="2"/>
        <v>5</v>
      </c>
      <c r="AU6" s="192">
        <f t="shared" si="2"/>
        <v>6</v>
      </c>
      <c r="AV6" s="192">
        <f t="shared" si="2"/>
        <v>7</v>
      </c>
      <c r="AW6" s="192">
        <f t="shared" si="2"/>
        <v>8</v>
      </c>
      <c r="AX6" s="192">
        <f t="shared" si="2"/>
        <v>9</v>
      </c>
      <c r="AY6" s="192">
        <f t="shared" si="2"/>
        <v>10</v>
      </c>
      <c r="AZ6" s="192">
        <f t="shared" si="2"/>
        <v>11</v>
      </c>
      <c r="BA6" s="192">
        <f t="shared" si="2"/>
        <v>12</v>
      </c>
      <c r="BB6" s="193" t="s">
        <v>1</v>
      </c>
      <c r="BC6" s="192">
        <v>1</v>
      </c>
      <c r="BD6" s="192">
        <v>2</v>
      </c>
      <c r="BE6" s="192">
        <f>BD6+1</f>
        <v>3</v>
      </c>
      <c r="BF6" s="192">
        <f t="shared" si="2"/>
        <v>4</v>
      </c>
      <c r="BG6" s="192">
        <f t="shared" si="2"/>
        <v>5</v>
      </c>
      <c r="BH6" s="192">
        <f t="shared" si="2"/>
        <v>6</v>
      </c>
      <c r="BI6" s="192">
        <f t="shared" si="2"/>
        <v>7</v>
      </c>
      <c r="BJ6" s="192">
        <f t="shared" si="2"/>
        <v>8</v>
      </c>
      <c r="BK6" s="192">
        <f t="shared" si="2"/>
        <v>9</v>
      </c>
      <c r="BL6" s="192">
        <f t="shared" si="2"/>
        <v>10</v>
      </c>
      <c r="BM6" s="192">
        <f t="shared" si="2"/>
        <v>11</v>
      </c>
      <c r="BN6" s="192">
        <f t="shared" si="2"/>
        <v>12</v>
      </c>
      <c r="BO6" s="193" t="s">
        <v>1</v>
      </c>
      <c r="BP6" s="192">
        <v>1</v>
      </c>
      <c r="BQ6" s="192">
        <v>2</v>
      </c>
      <c r="BR6" s="192">
        <f aca="true" t="shared" si="3" ref="BR6:CA6">BQ6+1</f>
        <v>3</v>
      </c>
      <c r="BS6" s="192">
        <f t="shared" si="3"/>
        <v>4</v>
      </c>
      <c r="BT6" s="192">
        <f t="shared" si="3"/>
        <v>5</v>
      </c>
      <c r="BU6" s="192">
        <f t="shared" si="3"/>
        <v>6</v>
      </c>
      <c r="BV6" s="192">
        <f t="shared" si="3"/>
        <v>7</v>
      </c>
      <c r="BW6" s="192">
        <f t="shared" si="3"/>
        <v>8</v>
      </c>
      <c r="BX6" s="192">
        <f t="shared" si="3"/>
        <v>9</v>
      </c>
      <c r="BY6" s="192">
        <f t="shared" si="3"/>
        <v>10</v>
      </c>
      <c r="BZ6" s="192">
        <f t="shared" si="3"/>
        <v>11</v>
      </c>
      <c r="CA6" s="192">
        <f t="shared" si="3"/>
        <v>12</v>
      </c>
      <c r="CB6" s="193" t="s">
        <v>1</v>
      </c>
      <c r="CC6" s="192">
        <v>1</v>
      </c>
      <c r="CD6" s="192">
        <v>2</v>
      </c>
      <c r="CE6" s="192">
        <f aca="true" t="shared" si="4" ref="CE6:CN6">CD6+1</f>
        <v>3</v>
      </c>
      <c r="CF6" s="192">
        <f t="shared" si="4"/>
        <v>4</v>
      </c>
      <c r="CG6" s="192">
        <f t="shared" si="4"/>
        <v>5</v>
      </c>
      <c r="CH6" s="192">
        <f t="shared" si="4"/>
        <v>6</v>
      </c>
      <c r="CI6" s="192">
        <f t="shared" si="4"/>
        <v>7</v>
      </c>
      <c r="CJ6" s="192">
        <f t="shared" si="4"/>
        <v>8</v>
      </c>
      <c r="CK6" s="192">
        <f t="shared" si="4"/>
        <v>9</v>
      </c>
      <c r="CL6" s="192">
        <f t="shared" si="4"/>
        <v>10</v>
      </c>
      <c r="CM6" s="192">
        <f t="shared" si="4"/>
        <v>11</v>
      </c>
      <c r="CN6" s="192">
        <f t="shared" si="4"/>
        <v>12</v>
      </c>
      <c r="CO6" s="193" t="s">
        <v>1</v>
      </c>
    </row>
    <row r="7" spans="1:94" ht="12.75">
      <c r="A7" s="190" t="s">
        <v>112</v>
      </c>
      <c r="B7" s="195">
        <f>O7+AB7+AO7+BB7+BO7+CB7+CO7</f>
        <v>12309</v>
      </c>
      <c r="C7" s="196">
        <f>'1-Ф3'!D31</f>
        <v>0</v>
      </c>
      <c r="D7" s="196">
        <f>'1-Ф3'!E31</f>
        <v>0</v>
      </c>
      <c r="E7" s="196">
        <f>'1-Ф3'!F31</f>
        <v>4427.5</v>
      </c>
      <c r="F7" s="196">
        <f>'1-Ф3'!G31</f>
        <v>7881.5</v>
      </c>
      <c r="G7" s="196">
        <f>'1-Ф3'!H31</f>
        <v>0</v>
      </c>
      <c r="H7" s="196">
        <f>'1-Ф3'!I31</f>
        <v>0</v>
      </c>
      <c r="I7" s="196">
        <f>'1-Ф3'!J31</f>
        <v>0</v>
      </c>
      <c r="J7" s="196">
        <f>'1-Ф3'!K31</f>
        <v>0</v>
      </c>
      <c r="K7" s="196">
        <f>'1-Ф3'!L31</f>
        <v>0</v>
      </c>
      <c r="L7" s="196">
        <f>'1-Ф3'!M31</f>
        <v>0</v>
      </c>
      <c r="M7" s="196">
        <f>'1-Ф3'!N31</f>
        <v>0</v>
      </c>
      <c r="N7" s="196">
        <f>'1-Ф3'!O31</f>
        <v>0</v>
      </c>
      <c r="O7" s="197">
        <f>SUM(C7:N7)</f>
        <v>12309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8"/>
    </row>
    <row r="8" spans="1:93" s="199" customFormat="1" ht="20.25" customHeight="1">
      <c r="A8" s="190" t="s">
        <v>31</v>
      </c>
      <c r="B8" s="195">
        <f>O8+AB8+AO8+BB8+BO8+CB8+CO8</f>
        <v>290.455</v>
      </c>
      <c r="C8" s="196"/>
      <c r="D8" s="196"/>
      <c r="E8" s="196"/>
      <c r="F8" s="196"/>
      <c r="G8" s="196"/>
      <c r="H8" s="196">
        <f>SUM(C9:H9)</f>
        <v>290.455</v>
      </c>
      <c r="I8" s="196"/>
      <c r="J8" s="196"/>
      <c r="K8" s="196"/>
      <c r="L8" s="196"/>
      <c r="M8" s="196"/>
      <c r="N8" s="196"/>
      <c r="O8" s="197">
        <f>SUM(C8:N8)</f>
        <v>290.455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>
        <f>SUM(P8:AA8)</f>
        <v>0</v>
      </c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7">
        <f>SUM(AC8:AN8)</f>
        <v>0</v>
      </c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7">
        <f>SUM(AP8:BA8)</f>
        <v>0</v>
      </c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7">
        <f>SUM(BC8:BN8)</f>
        <v>0</v>
      </c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7">
        <f>SUM(BP8:CA8)</f>
        <v>0</v>
      </c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7">
        <f>SUM(CC8:CN8)</f>
        <v>0</v>
      </c>
    </row>
    <row r="9" spans="1:93" s="199" customFormat="1" ht="12.75">
      <c r="A9" s="200" t="s">
        <v>13</v>
      </c>
      <c r="B9" s="195">
        <f>O9+AB9+AO9+BB9+BO9+CB9+CO9</f>
        <v>4700.264249999992</v>
      </c>
      <c r="C9" s="196"/>
      <c r="D9" s="196">
        <f>C12*$B$5/12</f>
        <v>0</v>
      </c>
      <c r="E9" s="196">
        <f>D12*$B$5/12</f>
        <v>0</v>
      </c>
      <c r="F9" s="196">
        <f>E12*$B$5/12</f>
        <v>44.275</v>
      </c>
      <c r="G9" s="196">
        <f>F12*$B$5/12</f>
        <v>123.08999999999999</v>
      </c>
      <c r="H9" s="196">
        <f>G12*$B$5/12</f>
        <v>123.08999999999999</v>
      </c>
      <c r="I9" s="196">
        <f aca="true" t="shared" si="5" ref="I9:AA9">H12*$B$5/12</f>
        <v>125.99455</v>
      </c>
      <c r="J9" s="196">
        <f t="shared" si="5"/>
        <v>124.1685420289855</v>
      </c>
      <c r="K9" s="196">
        <f t="shared" si="5"/>
        <v>122.34253405797101</v>
      </c>
      <c r="L9" s="196">
        <f>K12*$B$5/12</f>
        <v>120.5165260869565</v>
      </c>
      <c r="M9" s="196">
        <f t="shared" si="5"/>
        <v>118.690518115942</v>
      </c>
      <c r="N9" s="196">
        <f t="shared" si="5"/>
        <v>116.86451014492752</v>
      </c>
      <c r="O9" s="197">
        <f>SUM(C9:N9)</f>
        <v>1019.0321804347826</v>
      </c>
      <c r="P9" s="196">
        <f t="shared" si="5"/>
        <v>115.03850217391302</v>
      </c>
      <c r="Q9" s="196">
        <f t="shared" si="5"/>
        <v>113.21249420289853</v>
      </c>
      <c r="R9" s="196">
        <f t="shared" si="5"/>
        <v>111.38648623188402</v>
      </c>
      <c r="S9" s="196">
        <f t="shared" si="5"/>
        <v>109.56047826086952</v>
      </c>
      <c r="T9" s="196">
        <f t="shared" si="5"/>
        <v>107.73447028985504</v>
      </c>
      <c r="U9" s="196">
        <f t="shared" si="5"/>
        <v>105.90846231884053</v>
      </c>
      <c r="V9" s="196">
        <f t="shared" si="5"/>
        <v>104.08245434782604</v>
      </c>
      <c r="W9" s="196">
        <f t="shared" si="5"/>
        <v>102.25644637681154</v>
      </c>
      <c r="X9" s="196">
        <f t="shared" si="5"/>
        <v>100.43043840579703</v>
      </c>
      <c r="Y9" s="196">
        <f t="shared" si="5"/>
        <v>98.60443043478256</v>
      </c>
      <c r="Z9" s="196">
        <f t="shared" si="5"/>
        <v>96.77842246376805</v>
      </c>
      <c r="AA9" s="196">
        <f t="shared" si="5"/>
        <v>94.95241449275356</v>
      </c>
      <c r="AB9" s="197">
        <f>SUM(P9:AA9)</f>
        <v>1259.9454999999994</v>
      </c>
      <c r="AC9" s="196">
        <f aca="true" t="shared" si="6" ref="AC9:AN9">AB12*$B$5/12</f>
        <v>93.12640652173906</v>
      </c>
      <c r="AD9" s="196">
        <f t="shared" si="6"/>
        <v>91.30039855072455</v>
      </c>
      <c r="AE9" s="196">
        <f t="shared" si="6"/>
        <v>89.47439057971008</v>
      </c>
      <c r="AF9" s="196">
        <f t="shared" si="6"/>
        <v>87.64838260869557</v>
      </c>
      <c r="AG9" s="196">
        <f t="shared" si="6"/>
        <v>85.82237463768108</v>
      </c>
      <c r="AH9" s="196">
        <f t="shared" si="6"/>
        <v>83.99636666666657</v>
      </c>
      <c r="AI9" s="196">
        <f t="shared" si="6"/>
        <v>82.17035869565208</v>
      </c>
      <c r="AJ9" s="196">
        <f t="shared" si="6"/>
        <v>80.34435072463758</v>
      </c>
      <c r="AK9" s="196">
        <f t="shared" si="6"/>
        <v>78.51834275362309</v>
      </c>
      <c r="AL9" s="196">
        <f t="shared" si="6"/>
        <v>76.6923347826086</v>
      </c>
      <c r="AM9" s="196">
        <f t="shared" si="6"/>
        <v>74.86632681159409</v>
      </c>
      <c r="AN9" s="196">
        <f t="shared" si="6"/>
        <v>73.0403188405796</v>
      </c>
      <c r="AO9" s="197">
        <f>SUM(AC9:AN9)</f>
        <v>997.000352173912</v>
      </c>
      <c r="AP9" s="196">
        <f aca="true" t="shared" si="7" ref="AP9:BA9">AO12*$B$5/12</f>
        <v>71.2143108695651</v>
      </c>
      <c r="AQ9" s="196">
        <f t="shared" si="7"/>
        <v>69.3883028985506</v>
      </c>
      <c r="AR9" s="196">
        <f t="shared" si="7"/>
        <v>67.56229492753612</v>
      </c>
      <c r="AS9" s="196">
        <f t="shared" si="7"/>
        <v>65.73628695652161</v>
      </c>
      <c r="AT9" s="196">
        <f t="shared" si="7"/>
        <v>63.91027898550712</v>
      </c>
      <c r="AU9" s="196">
        <f t="shared" si="7"/>
        <v>62.08427101449262</v>
      </c>
      <c r="AV9" s="196">
        <f t="shared" si="7"/>
        <v>60.25826304347813</v>
      </c>
      <c r="AW9" s="196">
        <f t="shared" si="7"/>
        <v>58.432255072463626</v>
      </c>
      <c r="AX9" s="196">
        <f t="shared" si="7"/>
        <v>56.60624710144913</v>
      </c>
      <c r="AY9" s="196">
        <f t="shared" si="7"/>
        <v>54.78023913043464</v>
      </c>
      <c r="AZ9" s="196">
        <f t="shared" si="7"/>
        <v>52.95423115942014</v>
      </c>
      <c r="BA9" s="196">
        <f t="shared" si="7"/>
        <v>51.12822318840565</v>
      </c>
      <c r="BB9" s="197">
        <f>SUM(AP9:BA9)</f>
        <v>734.0552043478245</v>
      </c>
      <c r="BC9" s="196">
        <f aca="true" t="shared" si="8" ref="BC9:BN9">BB12*$B$5/12</f>
        <v>49.302215217391144</v>
      </c>
      <c r="BD9" s="196">
        <f t="shared" si="8"/>
        <v>47.47620724637665</v>
      </c>
      <c r="BE9" s="196">
        <f t="shared" si="8"/>
        <v>45.650199275362155</v>
      </c>
      <c r="BF9" s="196">
        <f t="shared" si="8"/>
        <v>43.82419130434766</v>
      </c>
      <c r="BG9" s="196">
        <f t="shared" si="8"/>
        <v>41.998183333333166</v>
      </c>
      <c r="BH9" s="196">
        <f t="shared" si="8"/>
        <v>40.17217536231867</v>
      </c>
      <c r="BI9" s="196">
        <f t="shared" si="8"/>
        <v>38.34616739130418</v>
      </c>
      <c r="BJ9" s="196">
        <f t="shared" si="8"/>
        <v>36.52015942028969</v>
      </c>
      <c r="BK9" s="196">
        <f t="shared" si="8"/>
        <v>34.694151449275196</v>
      </c>
      <c r="BL9" s="196">
        <f t="shared" si="8"/>
        <v>32.8681434782607</v>
      </c>
      <c r="BM9" s="196">
        <f t="shared" si="8"/>
        <v>31.04213550724621</v>
      </c>
      <c r="BN9" s="196">
        <f t="shared" si="8"/>
        <v>29.21612753623172</v>
      </c>
      <c r="BO9" s="197">
        <f>SUM(BC9:BN9)</f>
        <v>471.11005652173714</v>
      </c>
      <c r="BP9" s="196">
        <f aca="true" t="shared" si="9" ref="BP9:CA9">BO12*$B$5/12</f>
        <v>27.39011956521723</v>
      </c>
      <c r="BQ9" s="196">
        <f t="shared" si="9"/>
        <v>25.564111594202732</v>
      </c>
      <c r="BR9" s="196">
        <f t="shared" si="9"/>
        <v>23.73810362318824</v>
      </c>
      <c r="BS9" s="196">
        <f t="shared" si="9"/>
        <v>21.91209565217375</v>
      </c>
      <c r="BT9" s="196">
        <f t="shared" si="9"/>
        <v>20.08608768115926</v>
      </c>
      <c r="BU9" s="196">
        <f t="shared" si="9"/>
        <v>18.26007971014477</v>
      </c>
      <c r="BV9" s="196">
        <f t="shared" si="9"/>
        <v>16.434071739130278</v>
      </c>
      <c r="BW9" s="196">
        <f t="shared" si="9"/>
        <v>14.608063768115784</v>
      </c>
      <c r="BX9" s="196">
        <f t="shared" si="9"/>
        <v>12.782055797101293</v>
      </c>
      <c r="BY9" s="196">
        <f t="shared" si="9"/>
        <v>10.9560478260868</v>
      </c>
      <c r="BZ9" s="196">
        <f t="shared" si="9"/>
        <v>9.130039855072308</v>
      </c>
      <c r="CA9" s="196">
        <f t="shared" si="9"/>
        <v>7.304031884057815</v>
      </c>
      <c r="CB9" s="197">
        <f>SUM(BP9:CA9)</f>
        <v>208.16490869565027</v>
      </c>
      <c r="CC9" s="196">
        <f aca="true" t="shared" si="10" ref="CC9:CN9">CB12*$B$5/12</f>
        <v>5.478023913043322</v>
      </c>
      <c r="CD9" s="196">
        <f t="shared" si="10"/>
        <v>3.6520159420288287</v>
      </c>
      <c r="CE9" s="196">
        <f t="shared" si="10"/>
        <v>1.8260079710143362</v>
      </c>
      <c r="CF9" s="196">
        <f t="shared" si="10"/>
        <v>-1.5631940186722204E-13</v>
      </c>
      <c r="CG9" s="196">
        <f t="shared" si="10"/>
        <v>-1.5631940186722204E-13</v>
      </c>
      <c r="CH9" s="196">
        <f t="shared" si="10"/>
        <v>-1.5631940186722204E-13</v>
      </c>
      <c r="CI9" s="196">
        <f t="shared" si="10"/>
        <v>-1.5631940186722204E-13</v>
      </c>
      <c r="CJ9" s="196">
        <f t="shared" si="10"/>
        <v>-1.5631940186722204E-13</v>
      </c>
      <c r="CK9" s="196">
        <f t="shared" si="10"/>
        <v>-1.5631940186722204E-13</v>
      </c>
      <c r="CL9" s="196">
        <f t="shared" si="10"/>
        <v>-1.5631940186722204E-13</v>
      </c>
      <c r="CM9" s="196">
        <f t="shared" si="10"/>
        <v>-1.5631940186722204E-13</v>
      </c>
      <c r="CN9" s="196">
        <f t="shared" si="10"/>
        <v>-1.5631940186722204E-13</v>
      </c>
      <c r="CO9" s="197">
        <f>SUM(CC9:CN9)</f>
        <v>10.956047826085081</v>
      </c>
    </row>
    <row r="10" spans="1:94" ht="12.75">
      <c r="A10" s="190" t="s">
        <v>14</v>
      </c>
      <c r="B10" s="195">
        <f>O10+AB10+AO10+BB10+BO10+CB10+CO10</f>
        <v>12599.454999999994</v>
      </c>
      <c r="C10" s="196"/>
      <c r="D10" s="196"/>
      <c r="E10" s="196"/>
      <c r="F10" s="201"/>
      <c r="G10" s="201"/>
      <c r="H10" s="201"/>
      <c r="I10" s="196">
        <f>$H$12/$B$13</f>
        <v>182.60079710144927</v>
      </c>
      <c r="J10" s="196">
        <f aca="true" t="shared" si="11" ref="J10:BT10">$H$12/$B$13</f>
        <v>182.60079710144927</v>
      </c>
      <c r="K10" s="196">
        <f t="shared" si="11"/>
        <v>182.60079710144927</v>
      </c>
      <c r="L10" s="196">
        <f t="shared" si="11"/>
        <v>182.60079710144927</v>
      </c>
      <c r="M10" s="196">
        <f t="shared" si="11"/>
        <v>182.60079710144927</v>
      </c>
      <c r="N10" s="196">
        <f t="shared" si="11"/>
        <v>182.60079710144927</v>
      </c>
      <c r="O10" s="197">
        <f>SUM(C10:N10)</f>
        <v>1095.6047826086956</v>
      </c>
      <c r="P10" s="196">
        <f t="shared" si="11"/>
        <v>182.60079710144927</v>
      </c>
      <c r="Q10" s="196">
        <f t="shared" si="11"/>
        <v>182.60079710144927</v>
      </c>
      <c r="R10" s="196">
        <f t="shared" si="11"/>
        <v>182.60079710144927</v>
      </c>
      <c r="S10" s="196">
        <f t="shared" si="11"/>
        <v>182.60079710144927</v>
      </c>
      <c r="T10" s="196">
        <f t="shared" si="11"/>
        <v>182.60079710144927</v>
      </c>
      <c r="U10" s="196">
        <f t="shared" si="11"/>
        <v>182.60079710144927</v>
      </c>
      <c r="V10" s="196">
        <f t="shared" si="11"/>
        <v>182.60079710144927</v>
      </c>
      <c r="W10" s="196">
        <f t="shared" si="11"/>
        <v>182.60079710144927</v>
      </c>
      <c r="X10" s="196">
        <f t="shared" si="11"/>
        <v>182.60079710144927</v>
      </c>
      <c r="Y10" s="196">
        <f t="shared" si="11"/>
        <v>182.60079710144927</v>
      </c>
      <c r="Z10" s="196">
        <f t="shared" si="11"/>
        <v>182.60079710144927</v>
      </c>
      <c r="AA10" s="196">
        <f t="shared" si="11"/>
        <v>182.60079710144927</v>
      </c>
      <c r="AB10" s="197">
        <f>SUM(P10:AA10)</f>
        <v>2191.2095652173907</v>
      </c>
      <c r="AC10" s="196">
        <f t="shared" si="11"/>
        <v>182.60079710144927</v>
      </c>
      <c r="AD10" s="196">
        <f t="shared" si="11"/>
        <v>182.60079710144927</v>
      </c>
      <c r="AE10" s="196">
        <f t="shared" si="11"/>
        <v>182.60079710144927</v>
      </c>
      <c r="AF10" s="196">
        <f t="shared" si="11"/>
        <v>182.60079710144927</v>
      </c>
      <c r="AG10" s="196">
        <f t="shared" si="11"/>
        <v>182.60079710144927</v>
      </c>
      <c r="AH10" s="196">
        <f t="shared" si="11"/>
        <v>182.60079710144927</v>
      </c>
      <c r="AI10" s="196">
        <f t="shared" si="11"/>
        <v>182.60079710144927</v>
      </c>
      <c r="AJ10" s="196">
        <f t="shared" si="11"/>
        <v>182.60079710144927</v>
      </c>
      <c r="AK10" s="196">
        <f t="shared" si="11"/>
        <v>182.60079710144927</v>
      </c>
      <c r="AL10" s="196">
        <f t="shared" si="11"/>
        <v>182.60079710144927</v>
      </c>
      <c r="AM10" s="196">
        <f t="shared" si="11"/>
        <v>182.60079710144927</v>
      </c>
      <c r="AN10" s="196">
        <f t="shared" si="11"/>
        <v>182.60079710144927</v>
      </c>
      <c r="AO10" s="197">
        <f>SUM(AC10:AN10)</f>
        <v>2191.2095652173907</v>
      </c>
      <c r="AP10" s="196">
        <f t="shared" si="11"/>
        <v>182.60079710144927</v>
      </c>
      <c r="AQ10" s="196">
        <f t="shared" si="11"/>
        <v>182.60079710144927</v>
      </c>
      <c r="AR10" s="196">
        <f t="shared" si="11"/>
        <v>182.60079710144927</v>
      </c>
      <c r="AS10" s="196">
        <f t="shared" si="11"/>
        <v>182.60079710144927</v>
      </c>
      <c r="AT10" s="196">
        <f t="shared" si="11"/>
        <v>182.60079710144927</v>
      </c>
      <c r="AU10" s="196">
        <f t="shared" si="11"/>
        <v>182.60079710144927</v>
      </c>
      <c r="AV10" s="196">
        <f t="shared" si="11"/>
        <v>182.60079710144927</v>
      </c>
      <c r="AW10" s="196">
        <f t="shared" si="11"/>
        <v>182.60079710144927</v>
      </c>
      <c r="AX10" s="196">
        <f t="shared" si="11"/>
        <v>182.60079710144927</v>
      </c>
      <c r="AY10" s="196">
        <f t="shared" si="11"/>
        <v>182.60079710144927</v>
      </c>
      <c r="AZ10" s="196">
        <f t="shared" si="11"/>
        <v>182.60079710144927</v>
      </c>
      <c r="BA10" s="196">
        <f t="shared" si="11"/>
        <v>182.60079710144927</v>
      </c>
      <c r="BB10" s="197">
        <f>SUM(AP10:BA10)</f>
        <v>2191.2095652173907</v>
      </c>
      <c r="BC10" s="196">
        <f t="shared" si="11"/>
        <v>182.60079710144927</v>
      </c>
      <c r="BD10" s="196">
        <f t="shared" si="11"/>
        <v>182.60079710144927</v>
      </c>
      <c r="BE10" s="196">
        <f t="shared" si="11"/>
        <v>182.60079710144927</v>
      </c>
      <c r="BF10" s="196">
        <f t="shared" si="11"/>
        <v>182.60079710144927</v>
      </c>
      <c r="BG10" s="196">
        <f t="shared" si="11"/>
        <v>182.60079710144927</v>
      </c>
      <c r="BH10" s="196">
        <f t="shared" si="11"/>
        <v>182.60079710144927</v>
      </c>
      <c r="BI10" s="196">
        <f t="shared" si="11"/>
        <v>182.60079710144927</v>
      </c>
      <c r="BJ10" s="196">
        <f t="shared" si="11"/>
        <v>182.60079710144927</v>
      </c>
      <c r="BK10" s="196">
        <f t="shared" si="11"/>
        <v>182.60079710144927</v>
      </c>
      <c r="BL10" s="196">
        <f t="shared" si="11"/>
        <v>182.60079710144927</v>
      </c>
      <c r="BM10" s="196">
        <f t="shared" si="11"/>
        <v>182.60079710144927</v>
      </c>
      <c r="BN10" s="196">
        <f t="shared" si="11"/>
        <v>182.60079710144927</v>
      </c>
      <c r="BO10" s="197">
        <f>SUM(BC10:BN10)</f>
        <v>2191.2095652173907</v>
      </c>
      <c r="BP10" s="196">
        <f t="shared" si="11"/>
        <v>182.60079710144927</v>
      </c>
      <c r="BQ10" s="196">
        <f t="shared" si="11"/>
        <v>182.60079710144927</v>
      </c>
      <c r="BR10" s="196">
        <f t="shared" si="11"/>
        <v>182.60079710144927</v>
      </c>
      <c r="BS10" s="196">
        <f t="shared" si="11"/>
        <v>182.60079710144927</v>
      </c>
      <c r="BT10" s="196">
        <f t="shared" si="11"/>
        <v>182.60079710144927</v>
      </c>
      <c r="BU10" s="196">
        <f aca="true" t="shared" si="12" ref="BU10:CE10">$H$12/$B$13</f>
        <v>182.60079710144927</v>
      </c>
      <c r="BV10" s="196">
        <f t="shared" si="12"/>
        <v>182.60079710144927</v>
      </c>
      <c r="BW10" s="196">
        <f t="shared" si="12"/>
        <v>182.60079710144927</v>
      </c>
      <c r="BX10" s="196">
        <f t="shared" si="12"/>
        <v>182.60079710144927</v>
      </c>
      <c r="BY10" s="196">
        <f t="shared" si="12"/>
        <v>182.60079710144927</v>
      </c>
      <c r="BZ10" s="196">
        <f t="shared" si="12"/>
        <v>182.60079710144927</v>
      </c>
      <c r="CA10" s="196">
        <f t="shared" si="12"/>
        <v>182.60079710144927</v>
      </c>
      <c r="CB10" s="197">
        <f>SUM(BP10:CA10)</f>
        <v>2191.2095652173907</v>
      </c>
      <c r="CC10" s="196">
        <f t="shared" si="12"/>
        <v>182.60079710144927</v>
      </c>
      <c r="CD10" s="196">
        <f t="shared" si="12"/>
        <v>182.60079710144927</v>
      </c>
      <c r="CE10" s="196">
        <f t="shared" si="12"/>
        <v>182.60079710144927</v>
      </c>
      <c r="CF10" s="196"/>
      <c r="CG10" s="196"/>
      <c r="CH10" s="196"/>
      <c r="CI10" s="196"/>
      <c r="CJ10" s="196"/>
      <c r="CK10" s="196"/>
      <c r="CL10" s="196"/>
      <c r="CM10" s="196"/>
      <c r="CN10" s="196"/>
      <c r="CO10" s="197">
        <f>SUM(CC10:CN10)</f>
        <v>547.8023913043478</v>
      </c>
      <c r="CP10" s="198"/>
    </row>
    <row r="11" spans="1:94" ht="12.75">
      <c r="A11" s="190" t="s">
        <v>15</v>
      </c>
      <c r="B11" s="195">
        <f>O11+AB11+AO11+BB11+BO11+CB11+CO11</f>
        <v>4409.809249999992</v>
      </c>
      <c r="C11" s="196"/>
      <c r="D11" s="196"/>
      <c r="E11" s="196"/>
      <c r="F11" s="201"/>
      <c r="G11" s="201"/>
      <c r="H11" s="201"/>
      <c r="I11" s="196">
        <f aca="true" t="shared" si="13" ref="I11:N11">I9</f>
        <v>125.99455</v>
      </c>
      <c r="J11" s="196">
        <f t="shared" si="13"/>
        <v>124.1685420289855</v>
      </c>
      <c r="K11" s="196">
        <f t="shared" si="13"/>
        <v>122.34253405797101</v>
      </c>
      <c r="L11" s="196">
        <f t="shared" si="13"/>
        <v>120.5165260869565</v>
      </c>
      <c r="M11" s="196">
        <f t="shared" si="13"/>
        <v>118.690518115942</v>
      </c>
      <c r="N11" s="196">
        <f t="shared" si="13"/>
        <v>116.86451014492752</v>
      </c>
      <c r="O11" s="197">
        <f>SUM(C11:N11)</f>
        <v>728.5771804347826</v>
      </c>
      <c r="P11" s="196">
        <f aca="true" t="shared" si="14" ref="P11:BN11">P9</f>
        <v>115.03850217391302</v>
      </c>
      <c r="Q11" s="196">
        <f t="shared" si="14"/>
        <v>113.21249420289853</v>
      </c>
      <c r="R11" s="196">
        <f t="shared" si="14"/>
        <v>111.38648623188402</v>
      </c>
      <c r="S11" s="196">
        <f t="shared" si="14"/>
        <v>109.56047826086952</v>
      </c>
      <c r="T11" s="196">
        <f t="shared" si="14"/>
        <v>107.73447028985504</v>
      </c>
      <c r="U11" s="196">
        <f t="shared" si="14"/>
        <v>105.90846231884053</v>
      </c>
      <c r="V11" s="196">
        <f t="shared" si="14"/>
        <v>104.08245434782604</v>
      </c>
      <c r="W11" s="196">
        <f t="shared" si="14"/>
        <v>102.25644637681154</v>
      </c>
      <c r="X11" s="196">
        <f t="shared" si="14"/>
        <v>100.43043840579703</v>
      </c>
      <c r="Y11" s="196">
        <f t="shared" si="14"/>
        <v>98.60443043478256</v>
      </c>
      <c r="Z11" s="196">
        <f t="shared" si="14"/>
        <v>96.77842246376805</v>
      </c>
      <c r="AA11" s="196">
        <f t="shared" si="14"/>
        <v>94.95241449275356</v>
      </c>
      <c r="AB11" s="197">
        <f>SUM(P11:AA11)</f>
        <v>1259.9454999999994</v>
      </c>
      <c r="AC11" s="196">
        <f t="shared" si="14"/>
        <v>93.12640652173906</v>
      </c>
      <c r="AD11" s="196">
        <f t="shared" si="14"/>
        <v>91.30039855072455</v>
      </c>
      <c r="AE11" s="196">
        <f t="shared" si="14"/>
        <v>89.47439057971008</v>
      </c>
      <c r="AF11" s="196">
        <f t="shared" si="14"/>
        <v>87.64838260869557</v>
      </c>
      <c r="AG11" s="196">
        <f t="shared" si="14"/>
        <v>85.82237463768108</v>
      </c>
      <c r="AH11" s="196">
        <f t="shared" si="14"/>
        <v>83.99636666666657</v>
      </c>
      <c r="AI11" s="196">
        <f t="shared" si="14"/>
        <v>82.17035869565208</v>
      </c>
      <c r="AJ11" s="196">
        <f t="shared" si="14"/>
        <v>80.34435072463758</v>
      </c>
      <c r="AK11" s="196">
        <f t="shared" si="14"/>
        <v>78.51834275362309</v>
      </c>
      <c r="AL11" s="196">
        <f t="shared" si="14"/>
        <v>76.6923347826086</v>
      </c>
      <c r="AM11" s="196">
        <f t="shared" si="14"/>
        <v>74.86632681159409</v>
      </c>
      <c r="AN11" s="196">
        <f t="shared" si="14"/>
        <v>73.0403188405796</v>
      </c>
      <c r="AO11" s="197">
        <f>SUM(AC11:AN11)</f>
        <v>997.000352173912</v>
      </c>
      <c r="AP11" s="196">
        <f t="shared" si="14"/>
        <v>71.2143108695651</v>
      </c>
      <c r="AQ11" s="196">
        <f t="shared" si="14"/>
        <v>69.3883028985506</v>
      </c>
      <c r="AR11" s="196">
        <f t="shared" si="14"/>
        <v>67.56229492753612</v>
      </c>
      <c r="AS11" s="196">
        <f t="shared" si="14"/>
        <v>65.73628695652161</v>
      </c>
      <c r="AT11" s="196">
        <f t="shared" si="14"/>
        <v>63.91027898550712</v>
      </c>
      <c r="AU11" s="196">
        <f t="shared" si="14"/>
        <v>62.08427101449262</v>
      </c>
      <c r="AV11" s="196">
        <f t="shared" si="14"/>
        <v>60.25826304347813</v>
      </c>
      <c r="AW11" s="196">
        <f t="shared" si="14"/>
        <v>58.432255072463626</v>
      </c>
      <c r="AX11" s="196">
        <f t="shared" si="14"/>
        <v>56.60624710144913</v>
      </c>
      <c r="AY11" s="196">
        <f t="shared" si="14"/>
        <v>54.78023913043464</v>
      </c>
      <c r="AZ11" s="196">
        <f t="shared" si="14"/>
        <v>52.95423115942014</v>
      </c>
      <c r="BA11" s="196">
        <f t="shared" si="14"/>
        <v>51.12822318840565</v>
      </c>
      <c r="BB11" s="197">
        <f>SUM(AP11:BA11)</f>
        <v>734.0552043478245</v>
      </c>
      <c r="BC11" s="196">
        <f t="shared" si="14"/>
        <v>49.302215217391144</v>
      </c>
      <c r="BD11" s="196">
        <f t="shared" si="14"/>
        <v>47.47620724637665</v>
      </c>
      <c r="BE11" s="196">
        <f t="shared" si="14"/>
        <v>45.650199275362155</v>
      </c>
      <c r="BF11" s="196">
        <f t="shared" si="14"/>
        <v>43.82419130434766</v>
      </c>
      <c r="BG11" s="196">
        <f t="shared" si="14"/>
        <v>41.998183333333166</v>
      </c>
      <c r="BH11" s="196">
        <f t="shared" si="14"/>
        <v>40.17217536231867</v>
      </c>
      <c r="BI11" s="196">
        <f t="shared" si="14"/>
        <v>38.34616739130418</v>
      </c>
      <c r="BJ11" s="196">
        <f t="shared" si="14"/>
        <v>36.52015942028969</v>
      </c>
      <c r="BK11" s="196">
        <f t="shared" si="14"/>
        <v>34.694151449275196</v>
      </c>
      <c r="BL11" s="196">
        <f t="shared" si="14"/>
        <v>32.8681434782607</v>
      </c>
      <c r="BM11" s="196">
        <f t="shared" si="14"/>
        <v>31.04213550724621</v>
      </c>
      <c r="BN11" s="196">
        <f t="shared" si="14"/>
        <v>29.21612753623172</v>
      </c>
      <c r="BO11" s="197">
        <f>SUM(BC11:BN11)</f>
        <v>471.11005652173714</v>
      </c>
      <c r="BP11" s="196">
        <f aca="true" t="shared" si="15" ref="BP11:CA11">BP9</f>
        <v>27.39011956521723</v>
      </c>
      <c r="BQ11" s="196">
        <f t="shared" si="15"/>
        <v>25.564111594202732</v>
      </c>
      <c r="BR11" s="196">
        <f t="shared" si="15"/>
        <v>23.73810362318824</v>
      </c>
      <c r="BS11" s="196">
        <f t="shared" si="15"/>
        <v>21.91209565217375</v>
      </c>
      <c r="BT11" s="196">
        <f t="shared" si="15"/>
        <v>20.08608768115926</v>
      </c>
      <c r="BU11" s="196">
        <f t="shared" si="15"/>
        <v>18.26007971014477</v>
      </c>
      <c r="BV11" s="196">
        <f t="shared" si="15"/>
        <v>16.434071739130278</v>
      </c>
      <c r="BW11" s="196">
        <f t="shared" si="15"/>
        <v>14.608063768115784</v>
      </c>
      <c r="BX11" s="196">
        <f t="shared" si="15"/>
        <v>12.782055797101293</v>
      </c>
      <c r="BY11" s="196">
        <f t="shared" si="15"/>
        <v>10.9560478260868</v>
      </c>
      <c r="BZ11" s="196">
        <f t="shared" si="15"/>
        <v>9.130039855072308</v>
      </c>
      <c r="CA11" s="196">
        <f t="shared" si="15"/>
        <v>7.304031884057815</v>
      </c>
      <c r="CB11" s="197">
        <f>SUM(BP11:CA11)</f>
        <v>208.16490869565027</v>
      </c>
      <c r="CC11" s="196">
        <f aca="true" t="shared" si="16" ref="CC11:CN11">CC9</f>
        <v>5.478023913043322</v>
      </c>
      <c r="CD11" s="196">
        <f t="shared" si="16"/>
        <v>3.6520159420288287</v>
      </c>
      <c r="CE11" s="196">
        <f t="shared" si="16"/>
        <v>1.8260079710143362</v>
      </c>
      <c r="CF11" s="196">
        <f t="shared" si="16"/>
        <v>-1.5631940186722204E-13</v>
      </c>
      <c r="CG11" s="196">
        <f t="shared" si="16"/>
        <v>-1.5631940186722204E-13</v>
      </c>
      <c r="CH11" s="196">
        <f t="shared" si="16"/>
        <v>-1.5631940186722204E-13</v>
      </c>
      <c r="CI11" s="196">
        <f t="shared" si="16"/>
        <v>-1.5631940186722204E-13</v>
      </c>
      <c r="CJ11" s="196">
        <f t="shared" si="16"/>
        <v>-1.5631940186722204E-13</v>
      </c>
      <c r="CK11" s="196">
        <f t="shared" si="16"/>
        <v>-1.5631940186722204E-13</v>
      </c>
      <c r="CL11" s="196">
        <f t="shared" si="16"/>
        <v>-1.5631940186722204E-13</v>
      </c>
      <c r="CM11" s="196">
        <f t="shared" si="16"/>
        <v>-1.5631940186722204E-13</v>
      </c>
      <c r="CN11" s="196">
        <f t="shared" si="16"/>
        <v>-1.5631940186722204E-13</v>
      </c>
      <c r="CO11" s="197">
        <f>SUM(CC11:CN11)</f>
        <v>10.956047826085081</v>
      </c>
      <c r="CP11" s="198" t="s">
        <v>58</v>
      </c>
    </row>
    <row r="12" spans="1:94" ht="12.75">
      <c r="A12" s="190" t="s">
        <v>16</v>
      </c>
      <c r="B12" s="195">
        <f>CO12</f>
        <v>-1.5631940186722204E-11</v>
      </c>
      <c r="C12" s="196">
        <f>C7</f>
        <v>0</v>
      </c>
      <c r="D12" s="196">
        <f>C12+D7-D10+D8</f>
        <v>0</v>
      </c>
      <c r="E12" s="196">
        <f>D12+E7-E10+E8</f>
        <v>4427.5</v>
      </c>
      <c r="F12" s="196">
        <f>E12+F7-F10+F8</f>
        <v>12309</v>
      </c>
      <c r="G12" s="196">
        <f aca="true" t="shared" si="17" ref="G12:M12">F12+G7-G10+G8</f>
        <v>12309</v>
      </c>
      <c r="H12" s="196">
        <f>G12+H7-H10+H8</f>
        <v>12599.455</v>
      </c>
      <c r="I12" s="196">
        <f t="shared" si="17"/>
        <v>12416.85420289855</v>
      </c>
      <c r="J12" s="196">
        <f t="shared" si="17"/>
        <v>12234.2534057971</v>
      </c>
      <c r="K12" s="196">
        <f t="shared" si="17"/>
        <v>12051.652608695651</v>
      </c>
      <c r="L12" s="196">
        <f t="shared" si="17"/>
        <v>11869.051811594201</v>
      </c>
      <c r="M12" s="196">
        <f t="shared" si="17"/>
        <v>11686.451014492752</v>
      </c>
      <c r="N12" s="196">
        <f>M12+N7-N10+N8</f>
        <v>11503.850217391302</v>
      </c>
      <c r="O12" s="197">
        <f>N12</f>
        <v>11503.850217391302</v>
      </c>
      <c r="P12" s="196">
        <f>O12+P7-P10+P8</f>
        <v>11321.249420289852</v>
      </c>
      <c r="Q12" s="196">
        <f aca="true" t="shared" si="18" ref="Q12:Z12">P12+Q7-Q10+Q8</f>
        <v>11138.648623188403</v>
      </c>
      <c r="R12" s="196">
        <f t="shared" si="18"/>
        <v>10956.047826086953</v>
      </c>
      <c r="S12" s="196">
        <f t="shared" si="18"/>
        <v>10773.447028985503</v>
      </c>
      <c r="T12" s="196">
        <f t="shared" si="18"/>
        <v>10590.846231884054</v>
      </c>
      <c r="U12" s="196">
        <f t="shared" si="18"/>
        <v>10408.245434782604</v>
      </c>
      <c r="V12" s="196">
        <f t="shared" si="18"/>
        <v>10225.644637681155</v>
      </c>
      <c r="W12" s="196">
        <f t="shared" si="18"/>
        <v>10043.043840579705</v>
      </c>
      <c r="X12" s="196">
        <f t="shared" si="18"/>
        <v>9860.443043478255</v>
      </c>
      <c r="Y12" s="196">
        <f t="shared" si="18"/>
        <v>9677.842246376806</v>
      </c>
      <c r="Z12" s="196">
        <f t="shared" si="18"/>
        <v>9495.241449275356</v>
      </c>
      <c r="AA12" s="196">
        <f>Z12+AA7-AA10+AA8</f>
        <v>9312.640652173906</v>
      </c>
      <c r="AB12" s="197">
        <f>AA12</f>
        <v>9312.640652173906</v>
      </c>
      <c r="AC12" s="196">
        <f>AB12+AC7-AC10+AC8</f>
        <v>9130.039855072457</v>
      </c>
      <c r="AD12" s="196">
        <f aca="true" t="shared" si="19" ref="AD12:AN12">AC12+AD7-AD10+AD8</f>
        <v>8947.439057971007</v>
      </c>
      <c r="AE12" s="196">
        <f t="shared" si="19"/>
        <v>8764.838260869557</v>
      </c>
      <c r="AF12" s="196">
        <f t="shared" si="19"/>
        <v>8582.237463768108</v>
      </c>
      <c r="AG12" s="196">
        <f t="shared" si="19"/>
        <v>8399.636666666658</v>
      </c>
      <c r="AH12" s="196">
        <f t="shared" si="19"/>
        <v>8217.035869565208</v>
      </c>
      <c r="AI12" s="196">
        <f t="shared" si="19"/>
        <v>8034.435072463759</v>
      </c>
      <c r="AJ12" s="196">
        <f t="shared" si="19"/>
        <v>7851.834275362309</v>
      </c>
      <c r="AK12" s="196">
        <f t="shared" si="19"/>
        <v>7669.23347826086</v>
      </c>
      <c r="AL12" s="196">
        <f t="shared" si="19"/>
        <v>7486.63268115941</v>
      </c>
      <c r="AM12" s="196">
        <f t="shared" si="19"/>
        <v>7304.03188405796</v>
      </c>
      <c r="AN12" s="196">
        <f t="shared" si="19"/>
        <v>7121.431086956511</v>
      </c>
      <c r="AO12" s="197">
        <f>AN12</f>
        <v>7121.431086956511</v>
      </c>
      <c r="AP12" s="196">
        <f>AO12+AP7-AP10+AP8</f>
        <v>6938.830289855061</v>
      </c>
      <c r="AQ12" s="196">
        <f aca="true" t="shared" si="20" ref="AQ12:BA12">AP12+AQ7-AQ10+AQ8</f>
        <v>6756.229492753611</v>
      </c>
      <c r="AR12" s="196">
        <f t="shared" si="20"/>
        <v>6573.628695652162</v>
      </c>
      <c r="AS12" s="196">
        <f t="shared" si="20"/>
        <v>6391.027898550712</v>
      </c>
      <c r="AT12" s="196">
        <f t="shared" si="20"/>
        <v>6208.427101449262</v>
      </c>
      <c r="AU12" s="196">
        <f t="shared" si="20"/>
        <v>6025.826304347813</v>
      </c>
      <c r="AV12" s="196">
        <f t="shared" si="20"/>
        <v>5843.225507246363</v>
      </c>
      <c r="AW12" s="196">
        <f t="shared" si="20"/>
        <v>5660.6247101449135</v>
      </c>
      <c r="AX12" s="196">
        <f t="shared" si="20"/>
        <v>5478.023913043464</v>
      </c>
      <c r="AY12" s="196">
        <f t="shared" si="20"/>
        <v>5295.423115942014</v>
      </c>
      <c r="AZ12" s="196">
        <f t="shared" si="20"/>
        <v>5112.822318840565</v>
      </c>
      <c r="BA12" s="196">
        <f t="shared" si="20"/>
        <v>4930.221521739115</v>
      </c>
      <c r="BB12" s="197">
        <f>BA12</f>
        <v>4930.221521739115</v>
      </c>
      <c r="BC12" s="196">
        <f>BB12+BC7-BC10+BC8</f>
        <v>4747.620724637665</v>
      </c>
      <c r="BD12" s="196">
        <f aca="true" t="shared" si="21" ref="BD12:BN12">BC12+BD7-BD10+BD8</f>
        <v>4565.019927536216</v>
      </c>
      <c r="BE12" s="196">
        <f t="shared" si="21"/>
        <v>4382.419130434766</v>
      </c>
      <c r="BF12" s="196">
        <f t="shared" si="21"/>
        <v>4199.818333333316</v>
      </c>
      <c r="BG12" s="196">
        <f t="shared" si="21"/>
        <v>4017.217536231867</v>
      </c>
      <c r="BH12" s="196">
        <f t="shared" si="21"/>
        <v>3834.616739130418</v>
      </c>
      <c r="BI12" s="196">
        <f t="shared" si="21"/>
        <v>3652.0159420289688</v>
      </c>
      <c r="BJ12" s="196">
        <f t="shared" si="21"/>
        <v>3469.4151449275196</v>
      </c>
      <c r="BK12" s="196">
        <f t="shared" si="21"/>
        <v>3286.8143478260704</v>
      </c>
      <c r="BL12" s="196">
        <f t="shared" si="21"/>
        <v>3104.213550724621</v>
      </c>
      <c r="BM12" s="196">
        <f t="shared" si="21"/>
        <v>2921.612753623172</v>
      </c>
      <c r="BN12" s="196">
        <f t="shared" si="21"/>
        <v>2739.011956521723</v>
      </c>
      <c r="BO12" s="197">
        <f>BN12</f>
        <v>2739.011956521723</v>
      </c>
      <c r="BP12" s="196">
        <f aca="true" t="shared" si="22" ref="BP12:CA12">BO12+BP7-BP10+BP8</f>
        <v>2556.4111594202736</v>
      </c>
      <c r="BQ12" s="196">
        <f t="shared" si="22"/>
        <v>2373.8103623188244</v>
      </c>
      <c r="BR12" s="196">
        <f t="shared" si="22"/>
        <v>2191.2095652173753</v>
      </c>
      <c r="BS12" s="196">
        <f t="shared" si="22"/>
        <v>2008.608768115926</v>
      </c>
      <c r="BT12" s="196">
        <f t="shared" si="22"/>
        <v>1826.0079710144769</v>
      </c>
      <c r="BU12" s="196">
        <f t="shared" si="22"/>
        <v>1643.4071739130277</v>
      </c>
      <c r="BV12" s="196">
        <f t="shared" si="22"/>
        <v>1460.8063768115785</v>
      </c>
      <c r="BW12" s="196">
        <f t="shared" si="22"/>
        <v>1278.2055797101293</v>
      </c>
      <c r="BX12" s="196">
        <f t="shared" si="22"/>
        <v>1095.6047826086801</v>
      </c>
      <c r="BY12" s="196">
        <f t="shared" si="22"/>
        <v>913.0039855072308</v>
      </c>
      <c r="BZ12" s="196">
        <f t="shared" si="22"/>
        <v>730.4031884057815</v>
      </c>
      <c r="CA12" s="196">
        <f t="shared" si="22"/>
        <v>547.8023913043322</v>
      </c>
      <c r="CB12" s="197">
        <f>CA12</f>
        <v>547.8023913043322</v>
      </c>
      <c r="CC12" s="196">
        <f aca="true" t="shared" si="23" ref="CC12:CN12">CB12+CC7-CC10+CC8</f>
        <v>365.2015942028829</v>
      </c>
      <c r="CD12" s="196">
        <f t="shared" si="23"/>
        <v>182.60079710143364</v>
      </c>
      <c r="CE12" s="196">
        <f t="shared" si="23"/>
        <v>-1.5631940186722204E-11</v>
      </c>
      <c r="CF12" s="196">
        <f t="shared" si="23"/>
        <v>-1.5631940186722204E-11</v>
      </c>
      <c r="CG12" s="196">
        <f t="shared" si="23"/>
        <v>-1.5631940186722204E-11</v>
      </c>
      <c r="CH12" s="196">
        <f t="shared" si="23"/>
        <v>-1.5631940186722204E-11</v>
      </c>
      <c r="CI12" s="196">
        <f t="shared" si="23"/>
        <v>-1.5631940186722204E-11</v>
      </c>
      <c r="CJ12" s="196">
        <f t="shared" si="23"/>
        <v>-1.5631940186722204E-11</v>
      </c>
      <c r="CK12" s="196">
        <f t="shared" si="23"/>
        <v>-1.5631940186722204E-11</v>
      </c>
      <c r="CL12" s="196">
        <f t="shared" si="23"/>
        <v>-1.5631940186722204E-11</v>
      </c>
      <c r="CM12" s="196">
        <f t="shared" si="23"/>
        <v>-1.5631940186722204E-11</v>
      </c>
      <c r="CN12" s="196">
        <f t="shared" si="23"/>
        <v>-1.5631940186722204E-11</v>
      </c>
      <c r="CO12" s="197">
        <f>CN12</f>
        <v>-1.5631940186722204E-11</v>
      </c>
      <c r="CP12" s="202">
        <f>MAX(C12:BO12)</f>
        <v>12599.455</v>
      </c>
    </row>
    <row r="13" spans="1:94" ht="12.75">
      <c r="A13" s="179" t="s">
        <v>79</v>
      </c>
      <c r="B13" s="179">
        <f>Исх!C31*12-Исх!C32</f>
        <v>69</v>
      </c>
      <c r="CP13" s="182"/>
    </row>
    <row r="16" ht="12.75" hidden="1">
      <c r="A16" s="203">
        <f>B7+B8-B10</f>
        <v>0</v>
      </c>
    </row>
    <row r="17" ht="12.75" hidden="1">
      <c r="A17" s="203">
        <f>B9-B8-B11</f>
        <v>0</v>
      </c>
    </row>
  </sheetData>
  <sheetProtection/>
  <mergeCells count="7"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1968503937007874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S23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I1" sqref="I1:P16384"/>
    </sheetView>
  </sheetViews>
  <sheetFormatPr defaultColWidth="8.875" defaultRowHeight="12.75" outlineLevelRow="1" outlineLevelCol="1"/>
  <cols>
    <col min="1" max="1" width="35.25390625" style="78" customWidth="1"/>
    <col min="2" max="2" width="10.00390625" style="78" customWidth="1"/>
    <col min="3" max="3" width="9.00390625" style="78" customWidth="1"/>
    <col min="4" max="4" width="10.00390625" style="78" customWidth="1"/>
    <col min="5" max="6" width="6.625" style="78" customWidth="1" outlineLevel="1"/>
    <col min="7" max="7" width="6.375" style="78" bestFit="1" customWidth="1" outlineLevel="1"/>
    <col min="8" max="8" width="6.25390625" style="78" customWidth="1" outlineLevel="1"/>
    <col min="9" max="16" width="5.875" style="78" customWidth="1" outlineLevel="1"/>
    <col min="17" max="17" width="10.125" style="78" customWidth="1"/>
    <col min="18" max="18" width="8.875" style="78" customWidth="1"/>
    <col min="19" max="19" width="16.00390625" style="78" customWidth="1"/>
    <col min="20" max="20" width="12.875" style="78" bestFit="1" customWidth="1"/>
    <col min="21" max="16384" width="8.875" style="78" customWidth="1"/>
  </cols>
  <sheetData>
    <row r="1" ht="8.25" customHeight="1"/>
    <row r="2" spans="1:19" ht="12.75">
      <c r="A2" s="62" t="s">
        <v>60</v>
      </c>
      <c r="B2" s="174"/>
      <c r="Q2" s="147" t="s">
        <v>59</v>
      </c>
      <c r="R2" s="204"/>
      <c r="S2" s="172"/>
    </row>
    <row r="3" spans="2:19" ht="17.25" customHeight="1">
      <c r="B3" s="204"/>
      <c r="C3" s="204"/>
      <c r="E3" s="307">
        <v>2012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  <c r="Q3" s="91" t="s">
        <v>0</v>
      </c>
      <c r="R3" s="204"/>
      <c r="S3" s="205"/>
    </row>
    <row r="4" spans="1:17" ht="27" customHeight="1">
      <c r="A4" s="245" t="s">
        <v>205</v>
      </c>
      <c r="B4" s="206" t="s">
        <v>167</v>
      </c>
      <c r="C4" s="206" t="s">
        <v>168</v>
      </c>
      <c r="D4" s="226" t="s">
        <v>166</v>
      </c>
      <c r="E4" s="207">
        <v>1</v>
      </c>
      <c r="F4" s="207">
        <v>2</v>
      </c>
      <c r="G4" s="207">
        <v>3</v>
      </c>
      <c r="H4" s="207">
        <v>4</v>
      </c>
      <c r="I4" s="207">
        <v>5</v>
      </c>
      <c r="J4" s="207">
        <v>6</v>
      </c>
      <c r="K4" s="207">
        <v>7</v>
      </c>
      <c r="L4" s="207">
        <v>8</v>
      </c>
      <c r="M4" s="207">
        <v>9</v>
      </c>
      <c r="N4" s="207">
        <v>10</v>
      </c>
      <c r="O4" s="207">
        <v>11</v>
      </c>
      <c r="P4" s="207">
        <v>12</v>
      </c>
      <c r="Q4" s="92">
        <v>2012</v>
      </c>
    </row>
    <row r="5" spans="1:19" s="62" customFormat="1" ht="12.75" hidden="1">
      <c r="A5" s="208" t="s">
        <v>202</v>
      </c>
      <c r="B5" s="209"/>
      <c r="C5" s="209"/>
      <c r="D5" s="144">
        <f>SUM(D6:D7)</f>
        <v>0</v>
      </c>
      <c r="E5" s="144">
        <f aca="true" t="shared" si="0" ref="E5:Q5">SUM(E6:E7)</f>
        <v>0</v>
      </c>
      <c r="F5" s="144">
        <f t="shared" si="0"/>
        <v>0</v>
      </c>
      <c r="G5" s="144">
        <f t="shared" si="0"/>
        <v>0</v>
      </c>
      <c r="H5" s="144">
        <f t="shared" si="0"/>
        <v>0</v>
      </c>
      <c r="I5" s="144">
        <f t="shared" si="0"/>
        <v>0</v>
      </c>
      <c r="J5" s="144">
        <f t="shared" si="0"/>
        <v>0</v>
      </c>
      <c r="K5" s="144">
        <f t="shared" si="0"/>
        <v>0</v>
      </c>
      <c r="L5" s="144">
        <f t="shared" si="0"/>
        <v>0</v>
      </c>
      <c r="M5" s="144">
        <f t="shared" si="0"/>
        <v>0</v>
      </c>
      <c r="N5" s="144">
        <f t="shared" si="0"/>
        <v>0</v>
      </c>
      <c r="O5" s="144">
        <f t="shared" si="0"/>
        <v>0</v>
      </c>
      <c r="P5" s="144">
        <f t="shared" si="0"/>
        <v>0</v>
      </c>
      <c r="Q5" s="144">
        <f t="shared" si="0"/>
        <v>0</v>
      </c>
      <c r="S5" s="78"/>
    </row>
    <row r="6" spans="1:17" ht="12.75" hidden="1" outlineLevel="1">
      <c r="A6" s="210"/>
      <c r="B6" s="257"/>
      <c r="C6" s="257"/>
      <c r="D6" s="154">
        <f>B6*C6</f>
        <v>0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>
        <f>SUM(E6:P6)</f>
        <v>0</v>
      </c>
    </row>
    <row r="7" spans="1:17" ht="12.75" hidden="1" outlineLevel="1">
      <c r="A7" s="210"/>
      <c r="B7" s="86"/>
      <c r="C7" s="145"/>
      <c r="D7" s="154">
        <f>B7*C7</f>
        <v>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>
        <f>SUM(E7:P7)</f>
        <v>0</v>
      </c>
    </row>
    <row r="8" spans="1:19" ht="12.75" collapsed="1">
      <c r="A8" s="208" t="s">
        <v>111</v>
      </c>
      <c r="B8" s="209"/>
      <c r="C8" s="209"/>
      <c r="D8" s="144">
        <f aca="true" t="shared" si="1" ref="D8:Q8">SUM(D9:D13)</f>
        <v>9355</v>
      </c>
      <c r="E8" s="144">
        <f t="shared" si="1"/>
        <v>0</v>
      </c>
      <c r="F8" s="144">
        <f t="shared" si="1"/>
        <v>0</v>
      </c>
      <c r="G8" s="144">
        <f t="shared" si="1"/>
        <v>4427.5</v>
      </c>
      <c r="H8" s="144">
        <f t="shared" si="1"/>
        <v>4927.5</v>
      </c>
      <c r="I8" s="144">
        <f t="shared" si="1"/>
        <v>0</v>
      </c>
      <c r="J8" s="144">
        <f t="shared" si="1"/>
        <v>0</v>
      </c>
      <c r="K8" s="144">
        <f t="shared" si="1"/>
        <v>0</v>
      </c>
      <c r="L8" s="144">
        <f t="shared" si="1"/>
        <v>0</v>
      </c>
      <c r="M8" s="144">
        <f t="shared" si="1"/>
        <v>0</v>
      </c>
      <c r="N8" s="144">
        <f t="shared" si="1"/>
        <v>0</v>
      </c>
      <c r="O8" s="144">
        <f t="shared" si="1"/>
        <v>0</v>
      </c>
      <c r="P8" s="144">
        <f t="shared" si="1"/>
        <v>0</v>
      </c>
      <c r="Q8" s="144">
        <f t="shared" si="1"/>
        <v>9355</v>
      </c>
      <c r="S8" s="265" t="s">
        <v>248</v>
      </c>
    </row>
    <row r="9" spans="1:17" ht="12.75" outlineLevel="1">
      <c r="A9" s="264" t="s">
        <v>241</v>
      </c>
      <c r="B9" s="145"/>
      <c r="C9" s="145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17" ht="12.75" outlineLevel="1">
      <c r="A10" s="249" t="s">
        <v>247</v>
      </c>
      <c r="B10" s="145">
        <v>1</v>
      </c>
      <c r="C10" s="145">
        <f>7700*1.15</f>
        <v>8855</v>
      </c>
      <c r="D10" s="154">
        <f>B10*C10</f>
        <v>8855</v>
      </c>
      <c r="E10" s="154"/>
      <c r="F10" s="154"/>
      <c r="G10" s="154">
        <f>$D10/2</f>
        <v>4427.5</v>
      </c>
      <c r="H10" s="154">
        <f>$D10/2</f>
        <v>4427.5</v>
      </c>
      <c r="I10" s="154"/>
      <c r="J10" s="154"/>
      <c r="K10" s="154"/>
      <c r="L10" s="154"/>
      <c r="M10" s="154"/>
      <c r="N10" s="154"/>
      <c r="O10" s="154"/>
      <c r="P10" s="154"/>
      <c r="Q10" s="155">
        <f>SUM(E10:P10)</f>
        <v>8855</v>
      </c>
    </row>
    <row r="11" spans="1:17" ht="12.75" outlineLevel="1">
      <c r="A11" s="264" t="s">
        <v>242</v>
      </c>
      <c r="B11" s="145"/>
      <c r="C11" s="145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</row>
    <row r="12" spans="1:17" ht="12.75" outlineLevel="1">
      <c r="A12" s="249" t="s">
        <v>249</v>
      </c>
      <c r="B12" s="145">
        <v>1</v>
      </c>
      <c r="C12" s="145">
        <v>500</v>
      </c>
      <c r="D12" s="154">
        <f>B12*C12</f>
        <v>500</v>
      </c>
      <c r="E12" s="154"/>
      <c r="F12" s="154"/>
      <c r="G12" s="154"/>
      <c r="H12" s="154">
        <f>D12</f>
        <v>500</v>
      </c>
      <c r="I12" s="154"/>
      <c r="J12" s="154"/>
      <c r="K12" s="154"/>
      <c r="L12" s="154"/>
      <c r="M12" s="154"/>
      <c r="N12" s="154"/>
      <c r="O12" s="154"/>
      <c r="P12" s="154"/>
      <c r="Q12" s="155">
        <f>SUM(E12:P12)</f>
        <v>500</v>
      </c>
    </row>
    <row r="13" spans="1:17" ht="12.75" outlineLevel="1">
      <c r="A13" s="249"/>
      <c r="B13" s="145"/>
      <c r="C13" s="145"/>
      <c r="D13" s="154">
        <f>B13*C13</f>
        <v>0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>
        <f>SUM(E13:P13)</f>
        <v>0</v>
      </c>
    </row>
    <row r="14" spans="1:17" ht="12.75">
      <c r="A14" s="208" t="s">
        <v>211</v>
      </c>
      <c r="B14" s="209"/>
      <c r="C14" s="209"/>
      <c r="D14" s="144">
        <f aca="true" t="shared" si="2" ref="D14:Q14">SUM(D15:D16)</f>
        <v>2954</v>
      </c>
      <c r="E14" s="144">
        <f t="shared" si="2"/>
        <v>0</v>
      </c>
      <c r="F14" s="144">
        <f t="shared" si="2"/>
        <v>0</v>
      </c>
      <c r="G14" s="144">
        <f t="shared" si="2"/>
        <v>0</v>
      </c>
      <c r="H14" s="144">
        <f t="shared" si="2"/>
        <v>2954</v>
      </c>
      <c r="I14" s="144">
        <f t="shared" si="2"/>
        <v>0</v>
      </c>
      <c r="J14" s="144">
        <f t="shared" si="2"/>
        <v>0</v>
      </c>
      <c r="K14" s="144">
        <f t="shared" si="2"/>
        <v>0</v>
      </c>
      <c r="L14" s="144">
        <f t="shared" si="2"/>
        <v>0</v>
      </c>
      <c r="M14" s="144">
        <f t="shared" si="2"/>
        <v>0</v>
      </c>
      <c r="N14" s="144">
        <f t="shared" si="2"/>
        <v>0</v>
      </c>
      <c r="O14" s="144">
        <f t="shared" si="2"/>
        <v>0</v>
      </c>
      <c r="P14" s="144">
        <f t="shared" si="2"/>
        <v>0</v>
      </c>
      <c r="Q14" s="144">
        <f t="shared" si="2"/>
        <v>2954</v>
      </c>
    </row>
    <row r="15" spans="1:17" ht="12.75" outlineLevel="1">
      <c r="A15" s="249" t="s">
        <v>240</v>
      </c>
      <c r="B15" s="145">
        <v>1</v>
      </c>
      <c r="C15" s="145">
        <f>2954</f>
        <v>2954</v>
      </c>
      <c r="D15" s="154">
        <f>B15*C15</f>
        <v>2954</v>
      </c>
      <c r="E15" s="154"/>
      <c r="F15" s="154"/>
      <c r="G15" s="154"/>
      <c r="H15" s="154">
        <f>D15</f>
        <v>2954</v>
      </c>
      <c r="I15" s="154"/>
      <c r="J15" s="154"/>
      <c r="K15" s="154"/>
      <c r="L15" s="154"/>
      <c r="M15" s="154"/>
      <c r="N15" s="154"/>
      <c r="O15" s="154"/>
      <c r="P15" s="154"/>
      <c r="Q15" s="155">
        <f>SUM(E15:P15)</f>
        <v>2954</v>
      </c>
    </row>
    <row r="16" spans="1:17" ht="12.75" hidden="1" outlineLevel="1">
      <c r="A16" s="211"/>
      <c r="B16" s="145"/>
      <c r="C16" s="145"/>
      <c r="D16" s="154">
        <f>B16*C16</f>
        <v>0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5">
        <f>SUM(E16:P16)</f>
        <v>0</v>
      </c>
    </row>
    <row r="17" spans="1:17" ht="12.75" collapsed="1">
      <c r="A17" s="142" t="s">
        <v>0</v>
      </c>
      <c r="B17" s="168"/>
      <c r="C17" s="168"/>
      <c r="D17" s="168">
        <f aca="true" t="shared" si="3" ref="D17:Q17">D5+D8+D14</f>
        <v>12309</v>
      </c>
      <c r="E17" s="168">
        <f t="shared" si="3"/>
        <v>0</v>
      </c>
      <c r="F17" s="168">
        <f t="shared" si="3"/>
        <v>0</v>
      </c>
      <c r="G17" s="168">
        <f t="shared" si="3"/>
        <v>4427.5</v>
      </c>
      <c r="H17" s="168">
        <f t="shared" si="3"/>
        <v>7881.5</v>
      </c>
      <c r="I17" s="168">
        <f t="shared" si="3"/>
        <v>0</v>
      </c>
      <c r="J17" s="168">
        <f t="shared" si="3"/>
        <v>0</v>
      </c>
      <c r="K17" s="168">
        <f t="shared" si="3"/>
        <v>0</v>
      </c>
      <c r="L17" s="168">
        <f t="shared" si="3"/>
        <v>0</v>
      </c>
      <c r="M17" s="168">
        <f t="shared" si="3"/>
        <v>0</v>
      </c>
      <c r="N17" s="168">
        <f t="shared" si="3"/>
        <v>0</v>
      </c>
      <c r="O17" s="168">
        <f t="shared" si="3"/>
        <v>0</v>
      </c>
      <c r="P17" s="168">
        <f t="shared" si="3"/>
        <v>0</v>
      </c>
      <c r="Q17" s="168">
        <f t="shared" si="3"/>
        <v>12309</v>
      </c>
    </row>
    <row r="18" ht="12.75">
      <c r="D18" s="204">
        <f>D17-Q17</f>
        <v>0</v>
      </c>
    </row>
    <row r="19" spans="2:4" ht="12.75">
      <c r="B19" s="147" t="s">
        <v>59</v>
      </c>
      <c r="C19" s="204" t="s">
        <v>43</v>
      </c>
      <c r="D19" s="212" t="s">
        <v>99</v>
      </c>
    </row>
    <row r="20" spans="1:12" ht="12.75">
      <c r="A20" s="78" t="s">
        <v>116</v>
      </c>
      <c r="B20" s="204">
        <f>Q5</f>
        <v>0</v>
      </c>
      <c r="C20" s="204">
        <f>B20/Исх!$C$18</f>
        <v>0</v>
      </c>
      <c r="D20" s="169">
        <f>B20/Исх!$C$5</f>
        <v>0</v>
      </c>
      <c r="L20" s="174"/>
    </row>
    <row r="21" spans="1:12" ht="12.75">
      <c r="A21" s="78" t="s">
        <v>111</v>
      </c>
      <c r="B21" s="204">
        <f>Q8</f>
        <v>9355</v>
      </c>
      <c r="C21" s="204">
        <f>B21/Исх!$C$18</f>
        <v>9355</v>
      </c>
      <c r="D21" s="169">
        <f>B21/Исх!$C$5</f>
        <v>63.20945945945946</v>
      </c>
      <c r="L21" s="174"/>
    </row>
    <row r="22" spans="1:12" ht="12.75">
      <c r="A22" s="78" t="s">
        <v>211</v>
      </c>
      <c r="B22" s="204">
        <f>Q14</f>
        <v>2954</v>
      </c>
      <c r="C22" s="204">
        <f>B22/Исх!$C$18</f>
        <v>2954</v>
      </c>
      <c r="D22" s="169">
        <f>B22/Исх!$C$5</f>
        <v>19.95945945945946</v>
      </c>
      <c r="L22" s="174"/>
    </row>
    <row r="23" spans="1:4" ht="12.75">
      <c r="A23" s="62" t="s">
        <v>90</v>
      </c>
      <c r="B23" s="213">
        <f>SUM(B20:B22)</f>
        <v>12309</v>
      </c>
      <c r="C23" s="213">
        <f>SUM(C20:C22)</f>
        <v>12309</v>
      </c>
      <c r="D23" s="213">
        <f>SUM(D20:D22)</f>
        <v>83.16891891891892</v>
      </c>
    </row>
  </sheetData>
  <sheetProtection/>
  <mergeCells count="1">
    <mergeCell ref="E3:P3"/>
  </mergeCells>
  <hyperlinks>
    <hyperlink ref="S8" r:id="rId1" display="http://www.kaztechprom.kz/3tech/mini-zavod/krupa/764/"/>
  </hyperlinks>
  <printOptions/>
  <pageMargins left="0.48" right="0.2362204724409449" top="0.69" bottom="0.2755905511811024" header="0.52" footer="0.1968503937007874"/>
  <pageSetup horizontalDpi="600" verticalDpi="600" orientation="landscape" paperSize="9" scale="96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H19" sqref="H19"/>
    </sheetView>
  </sheetViews>
  <sheetFormatPr defaultColWidth="9.00390625" defaultRowHeight="12.75"/>
  <cols>
    <col min="1" max="1" width="38.625" style="78" customWidth="1"/>
    <col min="2" max="2" width="10.00390625" style="78" bestFit="1" customWidth="1"/>
    <col min="3" max="16384" width="9.125" style="78" customWidth="1"/>
  </cols>
  <sheetData>
    <row r="1" spans="1:6" ht="12.75">
      <c r="A1" s="62" t="s">
        <v>75</v>
      </c>
      <c r="B1" s="62"/>
      <c r="C1" s="62"/>
      <c r="D1" s="62"/>
      <c r="E1" s="62"/>
      <c r="F1" s="62"/>
    </row>
    <row r="2" spans="1:8" ht="12.75">
      <c r="A2" s="214"/>
      <c r="B2" s="214"/>
      <c r="C2" s="214"/>
      <c r="D2" s="214"/>
      <c r="E2" s="214"/>
      <c r="F2" s="214"/>
      <c r="H2" s="147" t="str">
        <f>'2-ф2'!B2</f>
        <v>тыс.тг.</v>
      </c>
    </row>
    <row r="3" spans="1:8" ht="12.75">
      <c r="A3" s="223" t="s">
        <v>9</v>
      </c>
      <c r="B3" s="246">
        <v>2012</v>
      </c>
      <c r="C3" s="246">
        <f aca="true" t="shared" si="0" ref="C3:H3">B3+1</f>
        <v>2013</v>
      </c>
      <c r="D3" s="246">
        <f t="shared" si="0"/>
        <v>2014</v>
      </c>
      <c r="E3" s="246">
        <f t="shared" si="0"/>
        <v>2015</v>
      </c>
      <c r="F3" s="246">
        <f t="shared" si="0"/>
        <v>2016</v>
      </c>
      <c r="G3" s="246">
        <f t="shared" si="0"/>
        <v>2017</v>
      </c>
      <c r="H3" s="246">
        <f t="shared" si="0"/>
        <v>2018</v>
      </c>
    </row>
    <row r="4" spans="1:8" ht="12.75">
      <c r="A4" s="215" t="s">
        <v>118</v>
      </c>
      <c r="B4" s="216">
        <f>'2-ф2'!P5</f>
        <v>15770.160000000003</v>
      </c>
      <c r="C4" s="216">
        <f>'2-ф2'!AC5</f>
        <v>34544.16</v>
      </c>
      <c r="D4" s="216">
        <f>'2-ф2'!AP5</f>
        <v>39049.920000000006</v>
      </c>
      <c r="E4" s="216">
        <f>'2-ф2'!BC5</f>
        <v>42053.76</v>
      </c>
      <c r="F4" s="216">
        <f>'2-ф2'!BP5</f>
        <v>45057.6</v>
      </c>
      <c r="G4" s="216">
        <f>'2-ф2'!CC5</f>
        <v>48061.44000000001</v>
      </c>
      <c r="H4" s="216">
        <f>'2-ф2'!CP5</f>
        <v>48061.44000000001</v>
      </c>
    </row>
    <row r="5" spans="1:8" ht="12.75">
      <c r="A5" s="215" t="s">
        <v>91</v>
      </c>
      <c r="B5" s="217">
        <f aca="true" t="shared" si="1" ref="B5:H5">B4-B6</f>
        <v>-2037.2444804347797</v>
      </c>
      <c r="C5" s="217">
        <f t="shared" si="1"/>
        <v>3088.8827000000056</v>
      </c>
      <c r="D5" s="217">
        <f t="shared" si="1"/>
        <v>5253.976047826094</v>
      </c>
      <c r="E5" s="217">
        <f t="shared" si="1"/>
        <v>6785.019995652176</v>
      </c>
      <c r="F5" s="217">
        <f t="shared" si="1"/>
        <v>8316.063943478257</v>
      </c>
      <c r="G5" s="217">
        <f t="shared" si="1"/>
        <v>9847.10789130436</v>
      </c>
      <c r="H5" s="217">
        <f t="shared" si="1"/>
        <v>10044.316752173923</v>
      </c>
    </row>
    <row r="6" spans="1:8" ht="12.75">
      <c r="A6" s="215" t="s">
        <v>122</v>
      </c>
      <c r="B6" s="218">
        <f aca="true" t="shared" si="2" ref="B6:H6">SUM(B7:B8)</f>
        <v>17807.404480434783</v>
      </c>
      <c r="C6" s="218">
        <f t="shared" si="2"/>
        <v>31455.277299999998</v>
      </c>
      <c r="D6" s="218">
        <f t="shared" si="2"/>
        <v>33795.94395217391</v>
      </c>
      <c r="E6" s="218">
        <f t="shared" si="2"/>
        <v>35268.74000434783</v>
      </c>
      <c r="F6" s="218">
        <f t="shared" si="2"/>
        <v>36741.53605652174</v>
      </c>
      <c r="G6" s="218">
        <f t="shared" si="2"/>
        <v>38214.33210869565</v>
      </c>
      <c r="H6" s="218">
        <f t="shared" si="2"/>
        <v>38017.123247826086</v>
      </c>
    </row>
    <row r="7" spans="1:8" ht="12.75">
      <c r="A7" s="215" t="s">
        <v>92</v>
      </c>
      <c r="B7" s="216">
        <f>'2-ф2'!P15+'2-ф2'!P14+'2-ф2'!P13</f>
        <v>9113.404480434783</v>
      </c>
      <c r="C7" s="216">
        <f>'2-ф2'!AC15+'2-ф2'!AC14+'2-ф2'!AC13</f>
        <v>12411.277299999998</v>
      </c>
      <c r="D7" s="216">
        <f>'2-ф2'!AP15+'2-ф2'!AP14+'2-ф2'!AP13</f>
        <v>12267.943952173913</v>
      </c>
      <c r="E7" s="216">
        <f>'2-ф2'!BC15+'2-ф2'!BC14+'2-ф2'!BC13</f>
        <v>12084.740004347825</v>
      </c>
      <c r="F7" s="216">
        <f>'2-ф2'!BP15+'2-ф2'!BP14+'2-ф2'!BP13</f>
        <v>11901.536056521738</v>
      </c>
      <c r="G7" s="216">
        <f>'2-ф2'!CC15+'2-ф2'!CC14+'2-ф2'!CC13</f>
        <v>11718.332108695651</v>
      </c>
      <c r="H7" s="216">
        <f>'2-ф2'!CP15+'2-ф2'!CP14+'2-ф2'!CP13</f>
        <v>11521.123247826086</v>
      </c>
    </row>
    <row r="8" spans="1:8" ht="12.75">
      <c r="A8" s="215" t="s">
        <v>93</v>
      </c>
      <c r="B8" s="216">
        <f>'2-ф2'!P9</f>
        <v>8694</v>
      </c>
      <c r="C8" s="216">
        <f>'2-ф2'!AC9</f>
        <v>19044</v>
      </c>
      <c r="D8" s="216">
        <f>'2-ф2'!AP9</f>
        <v>21528</v>
      </c>
      <c r="E8" s="216">
        <f>'2-ф2'!BC9</f>
        <v>23184</v>
      </c>
      <c r="F8" s="216">
        <f>'2-ф2'!BP9</f>
        <v>24840</v>
      </c>
      <c r="G8" s="216">
        <f>'2-ф2'!CC9</f>
        <v>26496</v>
      </c>
      <c r="H8" s="216">
        <f>'2-ф2'!CP9</f>
        <v>26496</v>
      </c>
    </row>
    <row r="9" spans="1:8" ht="12.75">
      <c r="A9" s="215" t="s">
        <v>94</v>
      </c>
      <c r="B9" s="218">
        <f aca="true" t="shared" si="3" ref="B9:H9">B4-B8</f>
        <v>7076.1600000000035</v>
      </c>
      <c r="C9" s="218">
        <f t="shared" si="3"/>
        <v>15500.160000000003</v>
      </c>
      <c r="D9" s="218">
        <f t="shared" si="3"/>
        <v>17521.920000000006</v>
      </c>
      <c r="E9" s="218">
        <f t="shared" si="3"/>
        <v>18869.760000000002</v>
      </c>
      <c r="F9" s="218">
        <f t="shared" si="3"/>
        <v>20217.6</v>
      </c>
      <c r="G9" s="218">
        <f t="shared" si="3"/>
        <v>21565.44000000001</v>
      </c>
      <c r="H9" s="218">
        <f t="shared" si="3"/>
        <v>21565.44000000001</v>
      </c>
    </row>
    <row r="10" spans="1:8" ht="12.75">
      <c r="A10" s="215" t="s">
        <v>76</v>
      </c>
      <c r="B10" s="219">
        <f aca="true" t="shared" si="4" ref="B10:H10">B9/B4</f>
        <v>0.44870565675934815</v>
      </c>
      <c r="C10" s="219">
        <f t="shared" si="4"/>
        <v>0.4487056567593481</v>
      </c>
      <c r="D10" s="219">
        <f t="shared" si="4"/>
        <v>0.4487056567593481</v>
      </c>
      <c r="E10" s="219">
        <f t="shared" si="4"/>
        <v>0.44870565675934804</v>
      </c>
      <c r="F10" s="219">
        <f t="shared" si="4"/>
        <v>0.44870565675934804</v>
      </c>
      <c r="G10" s="219">
        <f t="shared" si="4"/>
        <v>0.44870565675934815</v>
      </c>
      <c r="H10" s="219">
        <f t="shared" si="4"/>
        <v>0.44870565675934815</v>
      </c>
    </row>
    <row r="11" spans="1:8" ht="12.75">
      <c r="A11" s="215" t="s">
        <v>95</v>
      </c>
      <c r="B11" s="218">
        <f aca="true" t="shared" si="5" ref="B11:H11">B7/B10</f>
        <v>20310.4292160117</v>
      </c>
      <c r="C11" s="218">
        <f t="shared" si="5"/>
        <v>27660.17569209401</v>
      </c>
      <c r="D11" s="218">
        <f t="shared" si="5"/>
        <v>27340.73833785767</v>
      </c>
      <c r="E11" s="218">
        <f t="shared" si="5"/>
        <v>26932.444069518762</v>
      </c>
      <c r="F11" s="218">
        <f t="shared" si="5"/>
        <v>26524.149801179858</v>
      </c>
      <c r="G11" s="218">
        <f t="shared" si="5"/>
        <v>26115.855532840942</v>
      </c>
      <c r="H11" s="218">
        <f t="shared" si="5"/>
        <v>25676.349460432917</v>
      </c>
    </row>
    <row r="12" spans="1:8" ht="25.5">
      <c r="A12" s="220" t="s">
        <v>77</v>
      </c>
      <c r="B12" s="221">
        <f aca="true" t="shared" si="6" ref="B12:H12">(B4-B11)/B4</f>
        <v>-0.2879025460750998</v>
      </c>
      <c r="C12" s="221">
        <f t="shared" si="6"/>
        <v>0.19928069774763646</v>
      </c>
      <c r="D12" s="221">
        <f t="shared" si="6"/>
        <v>0.2998516171644483</v>
      </c>
      <c r="E12" s="221">
        <f t="shared" si="6"/>
        <v>0.35957108069483534</v>
      </c>
      <c r="F12" s="221">
        <f t="shared" si="6"/>
        <v>0.4113279490878374</v>
      </c>
      <c r="G12" s="221">
        <f t="shared" si="6"/>
        <v>0.45661520893171453</v>
      </c>
      <c r="H12" s="221">
        <f t="shared" si="6"/>
        <v>0.4657598802609137</v>
      </c>
    </row>
    <row r="13" spans="1:8" ht="12.75">
      <c r="A13" s="215" t="s">
        <v>109</v>
      </c>
      <c r="B13" s="222">
        <f aca="true" t="shared" si="7" ref="B13:H13">100%-B12</f>
        <v>1.2879025460750997</v>
      </c>
      <c r="C13" s="222">
        <f t="shared" si="7"/>
        <v>0.8007193022523635</v>
      </c>
      <c r="D13" s="222">
        <f t="shared" si="7"/>
        <v>0.7001483828355517</v>
      </c>
      <c r="E13" s="222">
        <f t="shared" si="7"/>
        <v>0.6404289193051647</v>
      </c>
      <c r="F13" s="222">
        <f t="shared" si="7"/>
        <v>0.5886720509121626</v>
      </c>
      <c r="G13" s="222">
        <f t="shared" si="7"/>
        <v>0.5433847910682854</v>
      </c>
      <c r="H13" s="222">
        <f t="shared" si="7"/>
        <v>0.5342401197390862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H58"/>
  <sheetViews>
    <sheetView showGridLines="0" tabSelected="1" zoomScalePageLayoutView="0" workbookViewId="0" topLeftCell="A1">
      <pane ySplit="2" topLeftCell="A6" activePane="bottomLeft" state="frozen"/>
      <selection pane="topLeft" activeCell="A34" sqref="A34"/>
      <selection pane="bottomLeft" activeCell="C10" sqref="C10"/>
    </sheetView>
  </sheetViews>
  <sheetFormatPr defaultColWidth="9.00390625" defaultRowHeight="12.75"/>
  <cols>
    <col min="1" max="1" width="53.75390625" style="72" customWidth="1"/>
    <col min="2" max="2" width="16.875" style="73" customWidth="1"/>
    <col min="3" max="3" width="12.75390625" style="71" customWidth="1"/>
    <col min="4" max="4" width="11.00390625" style="71" customWidth="1"/>
    <col min="5" max="16384" width="9.125" style="71" customWidth="1"/>
  </cols>
  <sheetData>
    <row r="1" ht="13.5" customHeight="1"/>
    <row r="2" spans="1:2" ht="13.5" customHeight="1">
      <c r="A2" s="231" t="s">
        <v>245</v>
      </c>
      <c r="B2" s="232">
        <v>2012</v>
      </c>
    </row>
    <row r="3" spans="1:2" ht="13.5" customHeight="1">
      <c r="A3" s="227" t="s">
        <v>180</v>
      </c>
      <c r="B3" s="228">
        <f>'1-Ф3'!B23</f>
        <v>12309</v>
      </c>
    </row>
    <row r="4" spans="1:2" ht="13.5" customHeight="1">
      <c r="A4" s="227" t="s">
        <v>179</v>
      </c>
      <c r="B4" s="228">
        <f>'1-Ф3'!B29-'1-Ф3'!B23</f>
        <v>3858.7996999999996</v>
      </c>
    </row>
    <row r="5" spans="1:2" ht="13.5" customHeight="1">
      <c r="A5" s="229" t="s">
        <v>90</v>
      </c>
      <c r="B5" s="230">
        <f>SUM(B3:B4)</f>
        <v>16167.7997</v>
      </c>
    </row>
    <row r="6" spans="1:2" ht="13.5" customHeight="1">
      <c r="A6" s="74"/>
      <c r="B6" s="75"/>
    </row>
    <row r="7" spans="1:4" ht="13.5" customHeight="1">
      <c r="A7" s="231" t="s">
        <v>246</v>
      </c>
      <c r="B7" s="232" t="s">
        <v>166</v>
      </c>
      <c r="C7" s="232" t="s">
        <v>9</v>
      </c>
      <c r="D7" s="232" t="s">
        <v>182</v>
      </c>
    </row>
    <row r="8" spans="1:7" ht="13.5" customHeight="1">
      <c r="A8" s="227" t="s">
        <v>181</v>
      </c>
      <c r="B8" s="228">
        <f>'1-Ф3'!B30</f>
        <v>3858.7997</v>
      </c>
      <c r="C8" s="235" t="s">
        <v>282</v>
      </c>
      <c r="D8" s="233">
        <f>B8/$B$10</f>
        <v>0.23867191402674293</v>
      </c>
      <c r="F8" s="236"/>
      <c r="G8" s="236"/>
    </row>
    <row r="9" spans="1:7" ht="13.5" customHeight="1">
      <c r="A9" s="227" t="s">
        <v>110</v>
      </c>
      <c r="B9" s="228">
        <f>'1-Ф3'!B31</f>
        <v>12309</v>
      </c>
      <c r="C9" s="235" t="s">
        <v>283</v>
      </c>
      <c r="D9" s="233">
        <f>B9/$B$10</f>
        <v>0.7613280859732571</v>
      </c>
      <c r="F9" s="236"/>
      <c r="G9" s="236"/>
    </row>
    <row r="10" spans="1:4" ht="12.75">
      <c r="A10" s="229" t="s">
        <v>90</v>
      </c>
      <c r="B10" s="230">
        <f>SUM(B8:B9)</f>
        <v>16167.7997</v>
      </c>
      <c r="C10" s="230"/>
      <c r="D10" s="234">
        <f>SUM(D8:D9)</f>
        <v>1</v>
      </c>
    </row>
    <row r="11" spans="1:2" ht="12.75">
      <c r="A11" s="77"/>
      <c r="B11" s="76"/>
    </row>
    <row r="12" spans="1:7" ht="12.75">
      <c r="A12" s="227" t="s">
        <v>183</v>
      </c>
      <c r="B12" s="228" t="s">
        <v>184</v>
      </c>
      <c r="F12" s="236"/>
      <c r="G12" s="236"/>
    </row>
    <row r="13" spans="1:2" ht="12.75">
      <c r="A13" s="227" t="s">
        <v>185</v>
      </c>
      <c r="B13" s="233">
        <f>Исх!C30</f>
        <v>0.12</v>
      </c>
    </row>
    <row r="14" spans="1:2" ht="12.75">
      <c r="A14" s="227" t="s">
        <v>215</v>
      </c>
      <c r="B14" s="237">
        <f>Исх!C31</f>
        <v>6</v>
      </c>
    </row>
    <row r="15" spans="1:7" ht="12.75">
      <c r="A15" s="227" t="s">
        <v>186</v>
      </c>
      <c r="B15" s="228" t="s">
        <v>187</v>
      </c>
      <c r="F15" s="236"/>
      <c r="G15" s="236"/>
    </row>
    <row r="16" spans="1:2" ht="12.75">
      <c r="A16" s="227" t="s">
        <v>189</v>
      </c>
      <c r="B16" s="228">
        <f>Исх!C32</f>
        <v>3</v>
      </c>
    </row>
    <row r="17" spans="1:2" ht="12.75">
      <c r="A17" s="227" t="s">
        <v>190</v>
      </c>
      <c r="B17" s="228">
        <f>Исх!C33</f>
        <v>3</v>
      </c>
    </row>
    <row r="18" spans="1:7" ht="12.75">
      <c r="A18" s="227" t="s">
        <v>281</v>
      </c>
      <c r="B18" s="228" t="s">
        <v>188</v>
      </c>
      <c r="F18" s="236"/>
      <c r="G18" s="236"/>
    </row>
    <row r="20" spans="1:6" ht="12.75">
      <c r="A20" s="227" t="s">
        <v>206</v>
      </c>
      <c r="B20" s="228">
        <f>'2-ф2'!BP18</f>
        <v>6964.335943478262</v>
      </c>
      <c r="F20" s="71" t="s">
        <v>203</v>
      </c>
    </row>
    <row r="21" spans="1:2" ht="12.75">
      <c r="A21" s="227" t="s">
        <v>191</v>
      </c>
      <c r="B21" s="233">
        <f>('3-Баланс'!AF26-'3-Баланс'!AE26)/'3-Баланс'!AF16</f>
        <v>0.30666058008001107</v>
      </c>
    </row>
    <row r="22" spans="1:2" ht="12.75">
      <c r="A22" s="71"/>
      <c r="B22" s="71"/>
    </row>
    <row r="23" spans="1:6" ht="12.75">
      <c r="A23" s="227" t="s">
        <v>278</v>
      </c>
      <c r="B23" s="244">
        <f>'3-Баланс'!AF11/'3-Баланс'!AF5</f>
        <v>0.2845511306736017</v>
      </c>
      <c r="F23" s="71" t="s">
        <v>203</v>
      </c>
    </row>
    <row r="24" spans="1:6" ht="12.75">
      <c r="A24" s="227" t="s">
        <v>204</v>
      </c>
      <c r="B24" s="244">
        <f>'3-Баланс'!AF24/'3-Баланс'!AF21</f>
        <v>7.291399316081575</v>
      </c>
      <c r="F24" s="71" t="s">
        <v>203</v>
      </c>
    </row>
    <row r="26" spans="1:6" ht="12.75">
      <c r="A26" s="227" t="s">
        <v>192</v>
      </c>
      <c r="B26" s="233">
        <f>'1-Ф3'!CU50</f>
        <v>0.2829913270381468</v>
      </c>
      <c r="F26" s="71" t="s">
        <v>271</v>
      </c>
    </row>
    <row r="27" spans="1:2" ht="12.75">
      <c r="A27" s="227" t="s">
        <v>193</v>
      </c>
      <c r="B27" s="228">
        <f>'1-Ф3'!CU48</f>
        <v>4458.610275967798</v>
      </c>
    </row>
    <row r="28" spans="1:2" ht="12.75">
      <c r="A28" s="227" t="s">
        <v>194</v>
      </c>
      <c r="B28" s="237">
        <f>'1-Ф3'!B51</f>
        <v>3.1027246090547087</v>
      </c>
    </row>
    <row r="29" spans="1:2" ht="12.75">
      <c r="A29" s="227" t="s">
        <v>195</v>
      </c>
      <c r="B29" s="237">
        <f>'1-Ф3'!B52</f>
        <v>3.691834728862833</v>
      </c>
    </row>
    <row r="31" ht="12.75">
      <c r="A31" s="238" t="s">
        <v>216</v>
      </c>
    </row>
    <row r="32" spans="1:8" ht="12.75">
      <c r="A32" s="231" t="s">
        <v>28</v>
      </c>
      <c r="B32" s="232">
        <v>2012</v>
      </c>
      <c r="C32" s="232">
        <v>2013</v>
      </c>
      <c r="D32" s="232">
        <v>2014</v>
      </c>
      <c r="E32" s="239">
        <v>2015</v>
      </c>
      <c r="F32" s="239">
        <v>2016</v>
      </c>
      <c r="G32" s="239">
        <v>2017</v>
      </c>
      <c r="H32" s="239">
        <v>2018</v>
      </c>
    </row>
    <row r="33" spans="1:8" ht="12.75">
      <c r="A33" s="227" t="s">
        <v>229</v>
      </c>
      <c r="B33" s="233">
        <f>Производство!P5</f>
        <v>0.35000000000000003</v>
      </c>
      <c r="C33" s="233">
        <f>Производство!AC5</f>
        <v>0.5750000000000001</v>
      </c>
      <c r="D33" s="233">
        <f>Производство!AD5</f>
        <v>0.65</v>
      </c>
      <c r="E33" s="233">
        <f>Производство!AE5</f>
        <v>0.7</v>
      </c>
      <c r="F33" s="233">
        <f>Производство!AF5</f>
        <v>0.75</v>
      </c>
      <c r="G33" s="233">
        <f>Производство!AG5</f>
        <v>0.8</v>
      </c>
      <c r="H33" s="233">
        <f>Производство!AH5</f>
        <v>0.8</v>
      </c>
    </row>
    <row r="34" spans="1:8" ht="12.75">
      <c r="A34" s="227" t="s">
        <v>272</v>
      </c>
      <c r="B34" s="228">
        <f>Производство!P6</f>
        <v>45.359999999999985</v>
      </c>
      <c r="C34" s="228">
        <f>Производство!AC6</f>
        <v>99.36</v>
      </c>
      <c r="D34" s="228">
        <f>Производство!AD6</f>
        <v>112.32</v>
      </c>
      <c r="E34" s="228">
        <f>Производство!AE6</f>
        <v>120.95999999999998</v>
      </c>
      <c r="F34" s="228">
        <f>Производство!AF6</f>
        <v>129.6</v>
      </c>
      <c r="G34" s="228">
        <f>Производство!AG6</f>
        <v>138.24</v>
      </c>
      <c r="H34" s="228">
        <f>Производство!AH6</f>
        <v>138.24</v>
      </c>
    </row>
    <row r="35" spans="1:8" ht="12.75">
      <c r="A35" s="227" t="s">
        <v>273</v>
      </c>
      <c r="B35" s="228">
        <f>Производство!P7</f>
        <v>173.88000000000002</v>
      </c>
      <c r="C35" s="228">
        <f>Производство!AC7</f>
        <v>380.88</v>
      </c>
      <c r="D35" s="228">
        <f>Производство!AD7</f>
        <v>430.56000000000006</v>
      </c>
      <c r="E35" s="228">
        <f>Производство!AE7</f>
        <v>463.68</v>
      </c>
      <c r="F35" s="228">
        <f>Производство!AF7</f>
        <v>496.80000000000007</v>
      </c>
      <c r="G35" s="228">
        <f>Производство!AG7</f>
        <v>529.9200000000001</v>
      </c>
      <c r="H35" s="228">
        <f>Производство!AH7</f>
        <v>529.9200000000001</v>
      </c>
    </row>
    <row r="36" spans="1:8" ht="12.75">
      <c r="A36" s="227" t="s">
        <v>274</v>
      </c>
      <c r="B36" s="228">
        <f>Производство!P8</f>
        <v>136.07999999999998</v>
      </c>
      <c r="C36" s="228">
        <f>Производство!AC8</f>
        <v>298.0799999999999</v>
      </c>
      <c r="D36" s="228">
        <f>Производство!AD8</f>
        <v>336.96</v>
      </c>
      <c r="E36" s="228">
        <f>Производство!AE8</f>
        <v>362.87999999999994</v>
      </c>
      <c r="F36" s="228">
        <f>Производство!AF8</f>
        <v>388.79999999999995</v>
      </c>
      <c r="G36" s="228">
        <f>Производство!AG8</f>
        <v>414.7199999999999</v>
      </c>
      <c r="H36" s="228">
        <f>Производство!AH8</f>
        <v>414.7199999999999</v>
      </c>
    </row>
    <row r="37" spans="1:8" ht="12.75">
      <c r="A37" s="227" t="s">
        <v>275</v>
      </c>
      <c r="B37" s="228">
        <f>Производство!P10</f>
        <v>378</v>
      </c>
      <c r="C37" s="228">
        <f>Производство!AC10</f>
        <v>828</v>
      </c>
      <c r="D37" s="228">
        <f>Производство!AD10</f>
        <v>936</v>
      </c>
      <c r="E37" s="228">
        <f>Производство!AE10</f>
        <v>1008</v>
      </c>
      <c r="F37" s="228">
        <f>Производство!AF10</f>
        <v>1080</v>
      </c>
      <c r="G37" s="228">
        <f>Производство!AG10</f>
        <v>1152</v>
      </c>
      <c r="H37" s="228">
        <f>Производство!AH10</f>
        <v>1152</v>
      </c>
    </row>
    <row r="39" ht="12.75">
      <c r="A39" s="238" t="s">
        <v>196</v>
      </c>
    </row>
    <row r="40" spans="1:6" ht="12.75">
      <c r="A40" s="310" t="s">
        <v>197</v>
      </c>
      <c r="B40" s="312">
        <v>2012</v>
      </c>
      <c r="C40" s="312"/>
      <c r="D40" s="312"/>
      <c r="E40" s="312"/>
      <c r="F40" s="312"/>
    </row>
    <row r="41" spans="1:6" ht="12.75">
      <c r="A41" s="311"/>
      <c r="B41" s="232">
        <v>1</v>
      </c>
      <c r="C41" s="232">
        <v>2</v>
      </c>
      <c r="D41" s="232">
        <v>3</v>
      </c>
      <c r="E41" s="232">
        <v>4</v>
      </c>
      <c r="F41" s="266">
        <v>5</v>
      </c>
    </row>
    <row r="42" spans="1:6" ht="25.5">
      <c r="A42" s="240" t="s">
        <v>198</v>
      </c>
      <c r="B42" s="241"/>
      <c r="C42" s="241"/>
      <c r="D42" s="233"/>
      <c r="E42" s="233"/>
      <c r="F42" s="233"/>
    </row>
    <row r="43" spans="1:6" ht="12.75">
      <c r="A43" s="227" t="s">
        <v>199</v>
      </c>
      <c r="B43" s="228"/>
      <c r="C43" s="242"/>
      <c r="D43" s="242"/>
      <c r="E43" s="228"/>
      <c r="F43" s="228"/>
    </row>
    <row r="44" spans="1:6" ht="12.75">
      <c r="A44" s="227" t="s">
        <v>200</v>
      </c>
      <c r="B44" s="228"/>
      <c r="C44" s="228"/>
      <c r="D44" s="242"/>
      <c r="E44" s="228"/>
      <c r="F44" s="228"/>
    </row>
    <row r="45" spans="1:6" ht="12.75">
      <c r="A45" s="227" t="s">
        <v>230</v>
      </c>
      <c r="B45" s="228"/>
      <c r="C45" s="242"/>
      <c r="D45" s="228"/>
      <c r="E45" s="228"/>
      <c r="F45" s="228"/>
    </row>
    <row r="46" spans="1:6" ht="12.75">
      <c r="A46" s="227" t="s">
        <v>218</v>
      </c>
      <c r="B46" s="228"/>
      <c r="C46" s="242"/>
      <c r="D46" s="242"/>
      <c r="E46" s="228"/>
      <c r="F46" s="228"/>
    </row>
    <row r="47" spans="1:6" ht="12.75">
      <c r="A47" s="227" t="s">
        <v>217</v>
      </c>
      <c r="B47" s="228"/>
      <c r="C47" s="228"/>
      <c r="D47" s="242"/>
      <c r="E47" s="242"/>
      <c r="F47" s="228"/>
    </row>
    <row r="48" spans="1:6" ht="12.75">
      <c r="A48" s="227" t="s">
        <v>219</v>
      </c>
      <c r="B48" s="228"/>
      <c r="C48" s="228"/>
      <c r="D48" s="242"/>
      <c r="E48" s="242"/>
      <c r="F48" s="242"/>
    </row>
    <row r="49" spans="1:6" ht="12.75">
      <c r="A49" s="227" t="s">
        <v>201</v>
      </c>
      <c r="B49" s="228"/>
      <c r="C49" s="228"/>
      <c r="D49" s="228"/>
      <c r="E49" s="228"/>
      <c r="F49" s="242"/>
    </row>
    <row r="51" ht="12.75">
      <c r="A51" s="238" t="s">
        <v>207</v>
      </c>
    </row>
    <row r="53" spans="1:2" ht="12.75">
      <c r="A53" s="247" t="s">
        <v>209</v>
      </c>
      <c r="B53" s="242" t="s">
        <v>210</v>
      </c>
    </row>
    <row r="54" spans="1:2" ht="12.75" hidden="1">
      <c r="A54" s="227" t="s">
        <v>41</v>
      </c>
      <c r="B54" s="228">
        <f>'1-Ф3'!B19</f>
        <v>0</v>
      </c>
    </row>
    <row r="55" spans="1:2" ht="12.75">
      <c r="A55" s="227" t="s">
        <v>277</v>
      </c>
      <c r="B55" s="228">
        <f>'1-Ф3'!B18</f>
        <v>8177.9544000000005</v>
      </c>
    </row>
    <row r="56" spans="1:2" ht="12.75">
      <c r="A56" s="227" t="s">
        <v>220</v>
      </c>
      <c r="B56" s="228">
        <f>SUM(Пост!C21:I21)*12</f>
        <v>148.176</v>
      </c>
    </row>
    <row r="57" spans="1:2" ht="12.75" hidden="1">
      <c r="A57" s="227" t="s">
        <v>208</v>
      </c>
      <c r="B57" s="228"/>
    </row>
    <row r="58" spans="1:2" ht="12.75">
      <c r="A58" s="229" t="s">
        <v>0</v>
      </c>
      <c r="B58" s="230">
        <f>SUM(B54:B57)</f>
        <v>8326.1304</v>
      </c>
    </row>
  </sheetData>
  <sheetProtection/>
  <mergeCells count="2">
    <mergeCell ref="A40:A41"/>
    <mergeCell ref="B40:F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IC32"/>
  <sheetViews>
    <sheetView showGridLines="0" showZeros="0" zoomScalePageLayoutView="0" workbookViewId="0" topLeftCell="A1">
      <pane xSplit="3" ySplit="4" topLeftCell="P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D13" sqref="CD13"/>
    </sheetView>
  </sheetViews>
  <sheetFormatPr defaultColWidth="10.125" defaultRowHeight="12.75" outlineLevelCol="1"/>
  <cols>
    <col min="1" max="1" width="38.125" style="88" customWidth="1"/>
    <col min="2" max="2" width="11.375" style="88" customWidth="1"/>
    <col min="3" max="3" width="3.875" style="88" customWidth="1"/>
    <col min="4" max="4" width="7.125" style="88" hidden="1" customWidth="1" outlineLevel="1"/>
    <col min="5" max="5" width="8.25390625" style="88" hidden="1" customWidth="1" outlineLevel="1"/>
    <col min="6" max="11" width="7.00390625" style="88" hidden="1" customWidth="1" outlineLevel="1"/>
    <col min="12" max="12" width="8.75390625" style="88" hidden="1" customWidth="1" outlineLevel="1"/>
    <col min="13" max="13" width="7.875" style="88" hidden="1" customWidth="1" outlineLevel="1"/>
    <col min="14" max="15" width="8.625" style="88" hidden="1" customWidth="1" outlineLevel="1"/>
    <col min="16" max="16" width="9.125" style="88" customWidth="1" collapsed="1"/>
    <col min="17" max="28" width="8.375" style="88" hidden="1" customWidth="1" outlineLevel="1"/>
    <col min="29" max="29" width="9.125" style="88" customWidth="1" collapsed="1"/>
    <col min="30" max="41" width="8.375" style="88" hidden="1" customWidth="1" outlineLevel="1"/>
    <col min="42" max="42" width="9.125" style="88" customWidth="1" collapsed="1"/>
    <col min="43" max="54" width="8.375" style="88" hidden="1" customWidth="1" outlineLevel="1"/>
    <col min="55" max="55" width="8.875" style="88" customWidth="1" collapsed="1"/>
    <col min="56" max="67" width="8.375" style="88" hidden="1" customWidth="1" outlineLevel="1"/>
    <col min="68" max="68" width="8.875" style="88" customWidth="1" collapsed="1"/>
    <col min="69" max="80" width="8.375" style="88" hidden="1" customWidth="1" outlineLevel="1"/>
    <col min="81" max="81" width="8.875" style="88" customWidth="1" collapsed="1"/>
    <col min="82" max="93" width="8.375" style="88" hidden="1" customWidth="1" outlineLevel="1"/>
    <col min="94" max="94" width="8.875" style="88" customWidth="1" collapsed="1"/>
    <col min="95" max="16384" width="10.125" style="88" customWidth="1"/>
  </cols>
  <sheetData>
    <row r="1" spans="1:3" ht="21" customHeight="1">
      <c r="A1" s="62" t="s">
        <v>117</v>
      </c>
      <c r="B1" s="87"/>
      <c r="C1" s="87"/>
    </row>
    <row r="2" spans="1:3" ht="17.25" customHeight="1">
      <c r="A2" s="62"/>
      <c r="B2" s="12" t="str">
        <f>Исх!$C$9</f>
        <v>тыс.тг.</v>
      </c>
      <c r="C2" s="89"/>
    </row>
    <row r="3" spans="1:94" ht="12.75" customHeight="1">
      <c r="A3" s="281" t="s">
        <v>3</v>
      </c>
      <c r="B3" s="285" t="s">
        <v>1</v>
      </c>
      <c r="C3" s="91"/>
      <c r="D3" s="291">
        <v>2012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>
        <v>2013</v>
      </c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>
        <v>2014</v>
      </c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>
        <v>2014</v>
      </c>
      <c r="AQ3" s="291">
        <v>2015</v>
      </c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>
        <f>AP3+1</f>
        <v>2015</v>
      </c>
      <c r="BD3" s="291">
        <v>2016</v>
      </c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>
        <f>BC3+1</f>
        <v>2016</v>
      </c>
      <c r="BQ3" s="291">
        <v>2017</v>
      </c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>
        <f>BP3+1</f>
        <v>2017</v>
      </c>
      <c r="CD3" s="291">
        <v>2018</v>
      </c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>
        <f>CC3+1</f>
        <v>2018</v>
      </c>
    </row>
    <row r="4" spans="1:94" ht="12.75">
      <c r="A4" s="282"/>
      <c r="B4" s="285"/>
      <c r="C4" s="92"/>
      <c r="D4" s="93">
        <v>1</v>
      </c>
      <c r="E4" s="93">
        <f aca="true" t="shared" si="0" ref="E4:O4">D4+1</f>
        <v>2</v>
      </c>
      <c r="F4" s="93">
        <f t="shared" si="0"/>
        <v>3</v>
      </c>
      <c r="G4" s="93">
        <f t="shared" si="0"/>
        <v>4</v>
      </c>
      <c r="H4" s="93">
        <f t="shared" si="0"/>
        <v>5</v>
      </c>
      <c r="I4" s="93">
        <f t="shared" si="0"/>
        <v>6</v>
      </c>
      <c r="J4" s="93">
        <f t="shared" si="0"/>
        <v>7</v>
      </c>
      <c r="K4" s="93">
        <f t="shared" si="0"/>
        <v>8</v>
      </c>
      <c r="L4" s="93">
        <f t="shared" si="0"/>
        <v>9</v>
      </c>
      <c r="M4" s="93">
        <f t="shared" si="0"/>
        <v>10</v>
      </c>
      <c r="N4" s="93">
        <f t="shared" si="0"/>
        <v>11</v>
      </c>
      <c r="O4" s="93">
        <f t="shared" si="0"/>
        <v>12</v>
      </c>
      <c r="P4" s="90" t="s">
        <v>0</v>
      </c>
      <c r="Q4" s="93">
        <v>1</v>
      </c>
      <c r="R4" s="93">
        <f aca="true" t="shared" si="1" ref="R4:AB4">Q4+1</f>
        <v>2</v>
      </c>
      <c r="S4" s="93">
        <f t="shared" si="1"/>
        <v>3</v>
      </c>
      <c r="T4" s="93">
        <f t="shared" si="1"/>
        <v>4</v>
      </c>
      <c r="U4" s="93">
        <f t="shared" si="1"/>
        <v>5</v>
      </c>
      <c r="V4" s="93">
        <f t="shared" si="1"/>
        <v>6</v>
      </c>
      <c r="W4" s="93">
        <f t="shared" si="1"/>
        <v>7</v>
      </c>
      <c r="X4" s="93">
        <f t="shared" si="1"/>
        <v>8</v>
      </c>
      <c r="Y4" s="93">
        <f t="shared" si="1"/>
        <v>9</v>
      </c>
      <c r="Z4" s="93">
        <f t="shared" si="1"/>
        <v>10</v>
      </c>
      <c r="AA4" s="93">
        <f t="shared" si="1"/>
        <v>11</v>
      </c>
      <c r="AB4" s="93">
        <f t="shared" si="1"/>
        <v>12</v>
      </c>
      <c r="AC4" s="90" t="s">
        <v>0</v>
      </c>
      <c r="AD4" s="93">
        <v>1</v>
      </c>
      <c r="AE4" s="93">
        <f aca="true" t="shared" si="2" ref="AE4:AO4">AD4+1</f>
        <v>2</v>
      </c>
      <c r="AF4" s="93">
        <f t="shared" si="2"/>
        <v>3</v>
      </c>
      <c r="AG4" s="93">
        <f t="shared" si="2"/>
        <v>4</v>
      </c>
      <c r="AH4" s="93">
        <f t="shared" si="2"/>
        <v>5</v>
      </c>
      <c r="AI4" s="93">
        <f t="shared" si="2"/>
        <v>6</v>
      </c>
      <c r="AJ4" s="93">
        <f t="shared" si="2"/>
        <v>7</v>
      </c>
      <c r="AK4" s="93">
        <f t="shared" si="2"/>
        <v>8</v>
      </c>
      <c r="AL4" s="93">
        <f t="shared" si="2"/>
        <v>9</v>
      </c>
      <c r="AM4" s="93">
        <f t="shared" si="2"/>
        <v>10</v>
      </c>
      <c r="AN4" s="93">
        <f t="shared" si="2"/>
        <v>11</v>
      </c>
      <c r="AO4" s="93">
        <f t="shared" si="2"/>
        <v>12</v>
      </c>
      <c r="AP4" s="90" t="s">
        <v>0</v>
      </c>
      <c r="AQ4" s="93">
        <v>1</v>
      </c>
      <c r="AR4" s="93">
        <f aca="true" t="shared" si="3" ref="AR4:BB4">AQ4+1</f>
        <v>2</v>
      </c>
      <c r="AS4" s="93">
        <f t="shared" si="3"/>
        <v>3</v>
      </c>
      <c r="AT4" s="93">
        <f t="shared" si="3"/>
        <v>4</v>
      </c>
      <c r="AU4" s="93">
        <f t="shared" si="3"/>
        <v>5</v>
      </c>
      <c r="AV4" s="93">
        <f t="shared" si="3"/>
        <v>6</v>
      </c>
      <c r="AW4" s="93">
        <f t="shared" si="3"/>
        <v>7</v>
      </c>
      <c r="AX4" s="93">
        <f t="shared" si="3"/>
        <v>8</v>
      </c>
      <c r="AY4" s="93">
        <f t="shared" si="3"/>
        <v>9</v>
      </c>
      <c r="AZ4" s="93">
        <f t="shared" si="3"/>
        <v>10</v>
      </c>
      <c r="BA4" s="93">
        <f t="shared" si="3"/>
        <v>11</v>
      </c>
      <c r="BB4" s="93">
        <f t="shared" si="3"/>
        <v>12</v>
      </c>
      <c r="BC4" s="90" t="s">
        <v>0</v>
      </c>
      <c r="BD4" s="93">
        <v>1</v>
      </c>
      <c r="BE4" s="93">
        <f aca="true" t="shared" si="4" ref="BE4:BO4">BD4+1</f>
        <v>2</v>
      </c>
      <c r="BF4" s="93">
        <f t="shared" si="4"/>
        <v>3</v>
      </c>
      <c r="BG4" s="93">
        <f t="shared" si="4"/>
        <v>4</v>
      </c>
      <c r="BH4" s="93">
        <f t="shared" si="4"/>
        <v>5</v>
      </c>
      <c r="BI4" s="93">
        <f t="shared" si="4"/>
        <v>6</v>
      </c>
      <c r="BJ4" s="93">
        <f t="shared" si="4"/>
        <v>7</v>
      </c>
      <c r="BK4" s="93">
        <f t="shared" si="4"/>
        <v>8</v>
      </c>
      <c r="BL4" s="93">
        <f t="shared" si="4"/>
        <v>9</v>
      </c>
      <c r="BM4" s="93">
        <f t="shared" si="4"/>
        <v>10</v>
      </c>
      <c r="BN4" s="93">
        <f t="shared" si="4"/>
        <v>11</v>
      </c>
      <c r="BO4" s="93">
        <f t="shared" si="4"/>
        <v>12</v>
      </c>
      <c r="BP4" s="90" t="s">
        <v>0</v>
      </c>
      <c r="BQ4" s="93">
        <v>1</v>
      </c>
      <c r="BR4" s="93">
        <f aca="true" t="shared" si="5" ref="BR4:CB4">BQ4+1</f>
        <v>2</v>
      </c>
      <c r="BS4" s="93">
        <f t="shared" si="5"/>
        <v>3</v>
      </c>
      <c r="BT4" s="93">
        <f t="shared" si="5"/>
        <v>4</v>
      </c>
      <c r="BU4" s="93">
        <f t="shared" si="5"/>
        <v>5</v>
      </c>
      <c r="BV4" s="93">
        <f t="shared" si="5"/>
        <v>6</v>
      </c>
      <c r="BW4" s="93">
        <f t="shared" si="5"/>
        <v>7</v>
      </c>
      <c r="BX4" s="93">
        <f t="shared" si="5"/>
        <v>8</v>
      </c>
      <c r="BY4" s="93">
        <f t="shared" si="5"/>
        <v>9</v>
      </c>
      <c r="BZ4" s="93">
        <f t="shared" si="5"/>
        <v>10</v>
      </c>
      <c r="CA4" s="93">
        <f t="shared" si="5"/>
        <v>11</v>
      </c>
      <c r="CB4" s="93">
        <f t="shared" si="5"/>
        <v>12</v>
      </c>
      <c r="CC4" s="90" t="s">
        <v>0</v>
      </c>
      <c r="CD4" s="93">
        <v>1</v>
      </c>
      <c r="CE4" s="93">
        <f aca="true" t="shared" si="6" ref="CE4:CO4">CD4+1</f>
        <v>2</v>
      </c>
      <c r="CF4" s="93">
        <f t="shared" si="6"/>
        <v>3</v>
      </c>
      <c r="CG4" s="93">
        <f t="shared" si="6"/>
        <v>4</v>
      </c>
      <c r="CH4" s="93">
        <f t="shared" si="6"/>
        <v>5</v>
      </c>
      <c r="CI4" s="93">
        <f t="shared" si="6"/>
        <v>6</v>
      </c>
      <c r="CJ4" s="93">
        <f t="shared" si="6"/>
        <v>7</v>
      </c>
      <c r="CK4" s="93">
        <f t="shared" si="6"/>
        <v>8</v>
      </c>
      <c r="CL4" s="93">
        <f t="shared" si="6"/>
        <v>9</v>
      </c>
      <c r="CM4" s="93">
        <f t="shared" si="6"/>
        <v>10</v>
      </c>
      <c r="CN4" s="93">
        <f t="shared" si="6"/>
        <v>11</v>
      </c>
      <c r="CO4" s="93">
        <f t="shared" si="6"/>
        <v>12</v>
      </c>
      <c r="CP4" s="90" t="s">
        <v>0</v>
      </c>
    </row>
    <row r="5" spans="1:95" s="89" customFormat="1" ht="15" customHeight="1">
      <c r="A5" s="94" t="s">
        <v>100</v>
      </c>
      <c r="B5" s="95">
        <f>P5+AC5+AP5+BC5+BP5+CC5+CP5</f>
        <v>272598.48000000004</v>
      </c>
      <c r="C5" s="96"/>
      <c r="D5" s="96">
        <f aca="true" t="shared" si="7" ref="D5:CP5">SUM(D6:D8)</f>
        <v>0</v>
      </c>
      <c r="E5" s="96">
        <f t="shared" si="7"/>
        <v>0</v>
      </c>
      <c r="F5" s="96">
        <f t="shared" si="7"/>
        <v>0</v>
      </c>
      <c r="G5" s="96">
        <f t="shared" si="7"/>
        <v>0</v>
      </c>
      <c r="H5" s="96">
        <f t="shared" si="7"/>
        <v>1501.9199999999998</v>
      </c>
      <c r="I5" s="96">
        <f t="shared" si="7"/>
        <v>1752.24</v>
      </c>
      <c r="J5" s="96">
        <f t="shared" si="7"/>
        <v>1752.24</v>
      </c>
      <c r="K5" s="96">
        <f t="shared" si="7"/>
        <v>2002.5600000000002</v>
      </c>
      <c r="L5" s="96">
        <f t="shared" si="7"/>
        <v>2002.5600000000002</v>
      </c>
      <c r="M5" s="96">
        <f t="shared" si="7"/>
        <v>2252.88</v>
      </c>
      <c r="N5" s="96">
        <f t="shared" si="7"/>
        <v>2252.88</v>
      </c>
      <c r="O5" s="96">
        <f t="shared" si="7"/>
        <v>2252.88</v>
      </c>
      <c r="P5" s="96">
        <f t="shared" si="7"/>
        <v>15770.160000000003</v>
      </c>
      <c r="Q5" s="96">
        <f t="shared" si="7"/>
        <v>2503.2000000000003</v>
      </c>
      <c r="R5" s="96">
        <f t="shared" si="7"/>
        <v>2503.2000000000003</v>
      </c>
      <c r="S5" s="96">
        <f t="shared" si="7"/>
        <v>2503.2000000000003</v>
      </c>
      <c r="T5" s="96">
        <f t="shared" si="7"/>
        <v>2753.52</v>
      </c>
      <c r="U5" s="96">
        <f t="shared" si="7"/>
        <v>2753.52</v>
      </c>
      <c r="V5" s="96">
        <f t="shared" si="7"/>
        <v>2753.52</v>
      </c>
      <c r="W5" s="96">
        <f t="shared" si="7"/>
        <v>3003.8399999999997</v>
      </c>
      <c r="X5" s="96">
        <f t="shared" si="7"/>
        <v>3003.8399999999997</v>
      </c>
      <c r="Y5" s="96">
        <f t="shared" si="7"/>
        <v>3003.8399999999997</v>
      </c>
      <c r="Z5" s="96">
        <f t="shared" si="7"/>
        <v>3254.16</v>
      </c>
      <c r="AA5" s="96">
        <f t="shared" si="7"/>
        <v>3254.16</v>
      </c>
      <c r="AB5" s="96">
        <f t="shared" si="7"/>
        <v>3254.16</v>
      </c>
      <c r="AC5" s="96">
        <f t="shared" si="7"/>
        <v>34544.16</v>
      </c>
      <c r="AD5" s="96">
        <f aca="true" t="shared" si="8" ref="AD5:AO5">SUM(AD6:AD8)</f>
        <v>3254.1600000000003</v>
      </c>
      <c r="AE5" s="96">
        <f t="shared" si="8"/>
        <v>3254.1600000000003</v>
      </c>
      <c r="AF5" s="96">
        <f t="shared" si="8"/>
        <v>3254.1600000000003</v>
      </c>
      <c r="AG5" s="96">
        <f t="shared" si="8"/>
        <v>3254.1600000000003</v>
      </c>
      <c r="AH5" s="96">
        <f t="shared" si="8"/>
        <v>3254.1600000000003</v>
      </c>
      <c r="AI5" s="96">
        <f t="shared" si="8"/>
        <v>3254.1600000000003</v>
      </c>
      <c r="AJ5" s="96">
        <f t="shared" si="8"/>
        <v>3254.1600000000003</v>
      </c>
      <c r="AK5" s="96">
        <f t="shared" si="8"/>
        <v>3254.1600000000003</v>
      </c>
      <c r="AL5" s="96">
        <f t="shared" si="8"/>
        <v>3254.1600000000003</v>
      </c>
      <c r="AM5" s="96">
        <f t="shared" si="8"/>
        <v>3254.1600000000003</v>
      </c>
      <c r="AN5" s="96">
        <f t="shared" si="8"/>
        <v>3254.1600000000003</v>
      </c>
      <c r="AO5" s="96">
        <f t="shared" si="8"/>
        <v>3254.1600000000003</v>
      </c>
      <c r="AP5" s="96">
        <f t="shared" si="7"/>
        <v>39049.920000000006</v>
      </c>
      <c r="AQ5" s="96">
        <f t="shared" si="7"/>
        <v>3504.48</v>
      </c>
      <c r="AR5" s="96">
        <f t="shared" si="7"/>
        <v>3504.48</v>
      </c>
      <c r="AS5" s="96">
        <f t="shared" si="7"/>
        <v>3504.48</v>
      </c>
      <c r="AT5" s="96">
        <f t="shared" si="7"/>
        <v>3504.48</v>
      </c>
      <c r="AU5" s="96">
        <f t="shared" si="7"/>
        <v>3504.48</v>
      </c>
      <c r="AV5" s="96">
        <f t="shared" si="7"/>
        <v>3504.48</v>
      </c>
      <c r="AW5" s="96">
        <f t="shared" si="7"/>
        <v>3504.48</v>
      </c>
      <c r="AX5" s="96">
        <f t="shared" si="7"/>
        <v>3504.48</v>
      </c>
      <c r="AY5" s="96">
        <f t="shared" si="7"/>
        <v>3504.48</v>
      </c>
      <c r="AZ5" s="96">
        <f t="shared" si="7"/>
        <v>3504.48</v>
      </c>
      <c r="BA5" s="96">
        <f t="shared" si="7"/>
        <v>3504.48</v>
      </c>
      <c r="BB5" s="96">
        <f t="shared" si="7"/>
        <v>3504.48</v>
      </c>
      <c r="BC5" s="96">
        <f t="shared" si="7"/>
        <v>42053.76</v>
      </c>
      <c r="BD5" s="96">
        <f aca="true" t="shared" si="9" ref="BD5:BO5">SUM(BD6:BD8)</f>
        <v>3754.8</v>
      </c>
      <c r="BE5" s="96">
        <f t="shared" si="9"/>
        <v>3754.8</v>
      </c>
      <c r="BF5" s="96">
        <f t="shared" si="9"/>
        <v>3754.8</v>
      </c>
      <c r="BG5" s="96">
        <f t="shared" si="9"/>
        <v>3754.8</v>
      </c>
      <c r="BH5" s="96">
        <f t="shared" si="9"/>
        <v>3754.8</v>
      </c>
      <c r="BI5" s="96">
        <f t="shared" si="9"/>
        <v>3754.8</v>
      </c>
      <c r="BJ5" s="96">
        <f t="shared" si="9"/>
        <v>3754.8</v>
      </c>
      <c r="BK5" s="96">
        <f t="shared" si="9"/>
        <v>3754.8</v>
      </c>
      <c r="BL5" s="96">
        <f t="shared" si="9"/>
        <v>3754.8</v>
      </c>
      <c r="BM5" s="96">
        <f t="shared" si="9"/>
        <v>3754.8</v>
      </c>
      <c r="BN5" s="96">
        <f t="shared" si="9"/>
        <v>3754.8</v>
      </c>
      <c r="BO5" s="96">
        <f t="shared" si="9"/>
        <v>3754.8</v>
      </c>
      <c r="BP5" s="96">
        <f t="shared" si="7"/>
        <v>45057.6</v>
      </c>
      <c r="BQ5" s="96">
        <f t="shared" si="7"/>
        <v>4005.120000000001</v>
      </c>
      <c r="BR5" s="96">
        <f t="shared" si="7"/>
        <v>4005.120000000001</v>
      </c>
      <c r="BS5" s="96">
        <f t="shared" si="7"/>
        <v>4005.120000000001</v>
      </c>
      <c r="BT5" s="96">
        <f t="shared" si="7"/>
        <v>4005.120000000001</v>
      </c>
      <c r="BU5" s="96">
        <f t="shared" si="7"/>
        <v>4005.120000000001</v>
      </c>
      <c r="BV5" s="96">
        <f t="shared" si="7"/>
        <v>4005.120000000001</v>
      </c>
      <c r="BW5" s="96">
        <f t="shared" si="7"/>
        <v>4005.120000000001</v>
      </c>
      <c r="BX5" s="96">
        <f t="shared" si="7"/>
        <v>4005.120000000001</v>
      </c>
      <c r="BY5" s="96">
        <f t="shared" si="7"/>
        <v>4005.120000000001</v>
      </c>
      <c r="BZ5" s="96">
        <f t="shared" si="7"/>
        <v>4005.120000000001</v>
      </c>
      <c r="CA5" s="96">
        <f t="shared" si="7"/>
        <v>4005.120000000001</v>
      </c>
      <c r="CB5" s="96">
        <f t="shared" si="7"/>
        <v>4005.120000000001</v>
      </c>
      <c r="CC5" s="96">
        <f t="shared" si="7"/>
        <v>48061.44000000001</v>
      </c>
      <c r="CD5" s="96">
        <f aca="true" t="shared" si="10" ref="CD5:CO5">SUM(CD6:CD8)</f>
        <v>4005.120000000001</v>
      </c>
      <c r="CE5" s="96">
        <f t="shared" si="10"/>
        <v>4005.120000000001</v>
      </c>
      <c r="CF5" s="96">
        <f t="shared" si="10"/>
        <v>4005.120000000001</v>
      </c>
      <c r="CG5" s="96">
        <f t="shared" si="10"/>
        <v>4005.120000000001</v>
      </c>
      <c r="CH5" s="96">
        <f t="shared" si="10"/>
        <v>4005.120000000001</v>
      </c>
      <c r="CI5" s="96">
        <f t="shared" si="10"/>
        <v>4005.120000000001</v>
      </c>
      <c r="CJ5" s="96">
        <f t="shared" si="10"/>
        <v>4005.120000000001</v>
      </c>
      <c r="CK5" s="96">
        <f t="shared" si="10"/>
        <v>4005.120000000001</v>
      </c>
      <c r="CL5" s="96">
        <f t="shared" si="10"/>
        <v>4005.120000000001</v>
      </c>
      <c r="CM5" s="96">
        <f t="shared" si="10"/>
        <v>4005.120000000001</v>
      </c>
      <c r="CN5" s="96">
        <f t="shared" si="10"/>
        <v>4005.120000000001</v>
      </c>
      <c r="CO5" s="96">
        <f t="shared" si="10"/>
        <v>4005.120000000001</v>
      </c>
      <c r="CP5" s="96">
        <f t="shared" si="7"/>
        <v>48061.44000000001</v>
      </c>
      <c r="CQ5" s="97"/>
    </row>
    <row r="6" spans="1:95" s="89" customFormat="1" ht="12.75">
      <c r="A6" s="98" t="str">
        <f>Дох!A5</f>
        <v>Крупа пшеничная №2</v>
      </c>
      <c r="B6" s="95">
        <f aca="true" t="shared" si="11" ref="B6:B18">P6+AC6+AP6+BC6+BP6+CC6+CP6</f>
        <v>49397.04</v>
      </c>
      <c r="C6" s="96"/>
      <c r="D6" s="99">
        <f>Производство!D6*Дох!$B5/1000</f>
        <v>0</v>
      </c>
      <c r="E6" s="99">
        <f>Производство!E6*Дох!$B5</f>
        <v>0</v>
      </c>
      <c r="F6" s="99">
        <f>Производство!F6*Дох!$B5</f>
        <v>0</v>
      </c>
      <c r="G6" s="99">
        <f>Производство!G6*Дох!$B5</f>
        <v>0</v>
      </c>
      <c r="H6" s="99">
        <f>Производство!H6*Дох!$B5</f>
        <v>272.15999999999997</v>
      </c>
      <c r="I6" s="99">
        <f>Производство!I6*Дох!$B5</f>
        <v>317.5199999999999</v>
      </c>
      <c r="J6" s="99">
        <f>Производство!J6*Дох!$B5</f>
        <v>317.5199999999999</v>
      </c>
      <c r="K6" s="99">
        <f>Производство!K6*Дох!$B5</f>
        <v>362.88</v>
      </c>
      <c r="L6" s="99">
        <f>Производство!L6*Дох!$B5</f>
        <v>362.88</v>
      </c>
      <c r="M6" s="99">
        <f>Производство!M6*Дох!$B5</f>
        <v>408.23999999999995</v>
      </c>
      <c r="N6" s="99">
        <f>Производство!N6*Дох!$B5</f>
        <v>408.23999999999995</v>
      </c>
      <c r="O6" s="99">
        <f>Производство!O6*Дох!$B5</f>
        <v>408.23999999999995</v>
      </c>
      <c r="P6" s="96">
        <f>SUM(D6:O6)</f>
        <v>2857.68</v>
      </c>
      <c r="Q6" s="99">
        <f>Производство!Q6*Дох!$B5</f>
        <v>453.59999999999997</v>
      </c>
      <c r="R6" s="99">
        <f>Производство!R6*Дох!$B5</f>
        <v>453.59999999999997</v>
      </c>
      <c r="S6" s="99">
        <f>Производство!S6*Дох!$B5</f>
        <v>453.59999999999997</v>
      </c>
      <c r="T6" s="99">
        <f>Производство!T6*Дох!$B5</f>
        <v>498.96</v>
      </c>
      <c r="U6" s="99">
        <f>Производство!U6*Дох!$B5</f>
        <v>498.96</v>
      </c>
      <c r="V6" s="99">
        <f>Производство!V6*Дох!$B5</f>
        <v>498.96</v>
      </c>
      <c r="W6" s="99">
        <f>Производство!W6*Дох!$B5</f>
        <v>544.3199999999999</v>
      </c>
      <c r="X6" s="99">
        <f>Производство!X6*Дох!$B5</f>
        <v>544.3199999999999</v>
      </c>
      <c r="Y6" s="99">
        <f>Производство!Y6*Дох!$B5</f>
        <v>544.3199999999999</v>
      </c>
      <c r="Z6" s="99">
        <f>Производство!Z6*Дох!$B5</f>
        <v>589.68</v>
      </c>
      <c r="AA6" s="99">
        <f>Производство!AA6*Дох!$B5</f>
        <v>589.68</v>
      </c>
      <c r="AB6" s="99">
        <f>Производство!AB6*Дох!$B5</f>
        <v>589.68</v>
      </c>
      <c r="AC6" s="96">
        <f>SUM(Q6:AB6)</f>
        <v>6259.68</v>
      </c>
      <c r="AD6" s="99">
        <f>$AP6/12</f>
        <v>589.68</v>
      </c>
      <c r="AE6" s="99">
        <f aca="true" t="shared" si="12" ref="AE6:AO10">$AP6/12</f>
        <v>589.68</v>
      </c>
      <c r="AF6" s="99">
        <f t="shared" si="12"/>
        <v>589.68</v>
      </c>
      <c r="AG6" s="99">
        <f t="shared" si="12"/>
        <v>589.68</v>
      </c>
      <c r="AH6" s="99">
        <f t="shared" si="12"/>
        <v>589.68</v>
      </c>
      <c r="AI6" s="99">
        <f t="shared" si="12"/>
        <v>589.68</v>
      </c>
      <c r="AJ6" s="99">
        <f t="shared" si="12"/>
        <v>589.68</v>
      </c>
      <c r="AK6" s="99">
        <f t="shared" si="12"/>
        <v>589.68</v>
      </c>
      <c r="AL6" s="99">
        <f t="shared" si="12"/>
        <v>589.68</v>
      </c>
      <c r="AM6" s="99">
        <f t="shared" si="12"/>
        <v>589.68</v>
      </c>
      <c r="AN6" s="99">
        <f t="shared" si="12"/>
        <v>589.68</v>
      </c>
      <c r="AO6" s="99">
        <f t="shared" si="12"/>
        <v>589.68</v>
      </c>
      <c r="AP6" s="99">
        <f>Производство!AD6*Дох!$B5</f>
        <v>7076.16</v>
      </c>
      <c r="AQ6" s="99">
        <f>$BC6/12</f>
        <v>635.0399999999998</v>
      </c>
      <c r="AR6" s="99">
        <f aca="true" t="shared" si="13" ref="AR6:BB10">$BC6/12</f>
        <v>635.0399999999998</v>
      </c>
      <c r="AS6" s="99">
        <f t="shared" si="13"/>
        <v>635.0399999999998</v>
      </c>
      <c r="AT6" s="99">
        <f t="shared" si="13"/>
        <v>635.0399999999998</v>
      </c>
      <c r="AU6" s="99">
        <f t="shared" si="13"/>
        <v>635.0399999999998</v>
      </c>
      <c r="AV6" s="99">
        <f t="shared" si="13"/>
        <v>635.0399999999998</v>
      </c>
      <c r="AW6" s="99">
        <f t="shared" si="13"/>
        <v>635.0399999999998</v>
      </c>
      <c r="AX6" s="99">
        <f t="shared" si="13"/>
        <v>635.0399999999998</v>
      </c>
      <c r="AY6" s="99">
        <f t="shared" si="13"/>
        <v>635.0399999999998</v>
      </c>
      <c r="AZ6" s="99">
        <f t="shared" si="13"/>
        <v>635.0399999999998</v>
      </c>
      <c r="BA6" s="99">
        <f t="shared" si="13"/>
        <v>635.0399999999998</v>
      </c>
      <c r="BB6" s="99">
        <f t="shared" si="13"/>
        <v>635.0399999999998</v>
      </c>
      <c r="BC6" s="99">
        <f>Производство!AE6*Дох!$B5</f>
        <v>7620.479999999999</v>
      </c>
      <c r="BD6" s="99">
        <f>$BP6/12</f>
        <v>680.4</v>
      </c>
      <c r="BE6" s="99">
        <f aca="true" t="shared" si="14" ref="BE6:BO10">$BP6/12</f>
        <v>680.4</v>
      </c>
      <c r="BF6" s="99">
        <f t="shared" si="14"/>
        <v>680.4</v>
      </c>
      <c r="BG6" s="99">
        <f t="shared" si="14"/>
        <v>680.4</v>
      </c>
      <c r="BH6" s="99">
        <f t="shared" si="14"/>
        <v>680.4</v>
      </c>
      <c r="BI6" s="99">
        <f t="shared" si="14"/>
        <v>680.4</v>
      </c>
      <c r="BJ6" s="99">
        <f t="shared" si="14"/>
        <v>680.4</v>
      </c>
      <c r="BK6" s="99">
        <f t="shared" si="14"/>
        <v>680.4</v>
      </c>
      <c r="BL6" s="99">
        <f t="shared" si="14"/>
        <v>680.4</v>
      </c>
      <c r="BM6" s="99">
        <f t="shared" si="14"/>
        <v>680.4</v>
      </c>
      <c r="BN6" s="99">
        <f t="shared" si="14"/>
        <v>680.4</v>
      </c>
      <c r="BO6" s="99">
        <f t="shared" si="14"/>
        <v>680.4</v>
      </c>
      <c r="BP6" s="99">
        <f>Производство!AF6*Дох!$B5</f>
        <v>8164.799999999999</v>
      </c>
      <c r="BQ6" s="99">
        <f>$CC6/12</f>
        <v>725.7600000000001</v>
      </c>
      <c r="BR6" s="99">
        <f aca="true" t="shared" si="15" ref="BR6:CB6">$CC6/12</f>
        <v>725.7600000000001</v>
      </c>
      <c r="BS6" s="99">
        <f t="shared" si="15"/>
        <v>725.7600000000001</v>
      </c>
      <c r="BT6" s="99">
        <f t="shared" si="15"/>
        <v>725.7600000000001</v>
      </c>
      <c r="BU6" s="99">
        <f t="shared" si="15"/>
        <v>725.7600000000001</v>
      </c>
      <c r="BV6" s="99">
        <f t="shared" si="15"/>
        <v>725.7600000000001</v>
      </c>
      <c r="BW6" s="99">
        <f t="shared" si="15"/>
        <v>725.7600000000001</v>
      </c>
      <c r="BX6" s="99">
        <f t="shared" si="15"/>
        <v>725.7600000000001</v>
      </c>
      <c r="BY6" s="99">
        <f t="shared" si="15"/>
        <v>725.7600000000001</v>
      </c>
      <c r="BZ6" s="99">
        <f t="shared" si="15"/>
        <v>725.7600000000001</v>
      </c>
      <c r="CA6" s="99">
        <f t="shared" si="15"/>
        <v>725.7600000000001</v>
      </c>
      <c r="CB6" s="99">
        <f t="shared" si="15"/>
        <v>725.7600000000001</v>
      </c>
      <c r="CC6" s="99">
        <f>Производство!AG6*Дох!$B5</f>
        <v>8709.12</v>
      </c>
      <c r="CD6" s="99">
        <f>$CP6/12</f>
        <v>725.7600000000001</v>
      </c>
      <c r="CE6" s="99">
        <f aca="true" t="shared" si="16" ref="CE6:CO8">$CP6/12</f>
        <v>725.7600000000001</v>
      </c>
      <c r="CF6" s="99">
        <f t="shared" si="16"/>
        <v>725.7600000000001</v>
      </c>
      <c r="CG6" s="99">
        <f t="shared" si="16"/>
        <v>725.7600000000001</v>
      </c>
      <c r="CH6" s="99">
        <f t="shared" si="16"/>
        <v>725.7600000000001</v>
      </c>
      <c r="CI6" s="99">
        <f t="shared" si="16"/>
        <v>725.7600000000001</v>
      </c>
      <c r="CJ6" s="99">
        <f t="shared" si="16"/>
        <v>725.7600000000001</v>
      </c>
      <c r="CK6" s="99">
        <f t="shared" si="16"/>
        <v>725.7600000000001</v>
      </c>
      <c r="CL6" s="99">
        <f t="shared" si="16"/>
        <v>725.7600000000001</v>
      </c>
      <c r="CM6" s="99">
        <f t="shared" si="16"/>
        <v>725.7600000000001</v>
      </c>
      <c r="CN6" s="99">
        <f t="shared" si="16"/>
        <v>725.7600000000001</v>
      </c>
      <c r="CO6" s="99">
        <f t="shared" si="16"/>
        <v>725.7600000000001</v>
      </c>
      <c r="CP6" s="99">
        <f>Производство!AH6*Дох!$B5</f>
        <v>8709.12</v>
      </c>
      <c r="CQ6" s="97"/>
    </row>
    <row r="7" spans="1:95" s="89" customFormat="1" ht="12.75">
      <c r="A7" s="98" t="str">
        <f>Дох!A6</f>
        <v>Крупа пшеничная №3</v>
      </c>
      <c r="B7" s="95">
        <f>P7+AC7+AP7+BC7+BP7+CC7+CP7</f>
        <v>204383.52000000002</v>
      </c>
      <c r="C7" s="96"/>
      <c r="D7" s="99">
        <f>Производство!D6*Дох!$B5/1000</f>
        <v>0</v>
      </c>
      <c r="E7" s="99">
        <f>Производство!E7*Дох!$B6</f>
        <v>0</v>
      </c>
      <c r="F7" s="99">
        <f>Производство!F7*Дох!$B6</f>
        <v>0</v>
      </c>
      <c r="G7" s="99">
        <f>Производство!G7*Дох!$B6</f>
        <v>0</v>
      </c>
      <c r="H7" s="99">
        <f>Производство!H7*Дох!$B6</f>
        <v>1126.08</v>
      </c>
      <c r="I7" s="99">
        <f>Производство!I7*Дох!$B6</f>
        <v>1313.76</v>
      </c>
      <c r="J7" s="99">
        <f>Производство!J7*Дох!$B6</f>
        <v>1313.76</v>
      </c>
      <c r="K7" s="99">
        <f>Производство!K7*Дох!$B6</f>
        <v>1501.44</v>
      </c>
      <c r="L7" s="99">
        <f>Производство!L7*Дох!$B6</f>
        <v>1501.44</v>
      </c>
      <c r="M7" s="99">
        <f>Производство!M7*Дох!$B6</f>
        <v>1689.1200000000003</v>
      </c>
      <c r="N7" s="99">
        <f>Производство!N7*Дох!$B6</f>
        <v>1689.1200000000003</v>
      </c>
      <c r="O7" s="99">
        <f>Производство!O7*Дох!$B6</f>
        <v>1689.1200000000003</v>
      </c>
      <c r="P7" s="96">
        <f>SUM(D7:O7)</f>
        <v>11823.840000000004</v>
      </c>
      <c r="Q7" s="99">
        <f>Производство!Q7*Дох!$B6</f>
        <v>1876.8000000000002</v>
      </c>
      <c r="R7" s="99">
        <f>Производство!R7*Дох!$B6</f>
        <v>1876.8000000000002</v>
      </c>
      <c r="S7" s="99">
        <f>Производство!S7*Дох!$B6</f>
        <v>1876.8000000000002</v>
      </c>
      <c r="T7" s="99">
        <f>Производство!T7*Дох!$B6</f>
        <v>2064.48</v>
      </c>
      <c r="U7" s="99">
        <f>Производство!U7*Дох!$B6</f>
        <v>2064.48</v>
      </c>
      <c r="V7" s="99">
        <f>Производство!V7*Дох!$B6</f>
        <v>2064.48</v>
      </c>
      <c r="W7" s="99">
        <f>Производство!W7*Дох!$B6</f>
        <v>2252.16</v>
      </c>
      <c r="X7" s="99">
        <f>Производство!X7*Дох!$B6</f>
        <v>2252.16</v>
      </c>
      <c r="Y7" s="99">
        <f>Производство!Y7*Дох!$B6</f>
        <v>2252.16</v>
      </c>
      <c r="Z7" s="99">
        <f>Производство!Z7*Дох!$B6</f>
        <v>2439.84</v>
      </c>
      <c r="AA7" s="99">
        <f>Производство!AA7*Дох!$B6</f>
        <v>2439.84</v>
      </c>
      <c r="AB7" s="99">
        <f>Производство!AB7*Дох!$B6</f>
        <v>2439.84</v>
      </c>
      <c r="AC7" s="96">
        <f>SUM(Q7:AB7)</f>
        <v>25899.84</v>
      </c>
      <c r="AD7" s="99">
        <f>$AP7/12</f>
        <v>2439.8400000000006</v>
      </c>
      <c r="AE7" s="99">
        <f t="shared" si="12"/>
        <v>2439.8400000000006</v>
      </c>
      <c r="AF7" s="99">
        <f t="shared" si="12"/>
        <v>2439.8400000000006</v>
      </c>
      <c r="AG7" s="99">
        <f t="shared" si="12"/>
        <v>2439.8400000000006</v>
      </c>
      <c r="AH7" s="99">
        <f t="shared" si="12"/>
        <v>2439.8400000000006</v>
      </c>
      <c r="AI7" s="99">
        <f t="shared" si="12"/>
        <v>2439.8400000000006</v>
      </c>
      <c r="AJ7" s="99">
        <f t="shared" si="12"/>
        <v>2439.8400000000006</v>
      </c>
      <c r="AK7" s="99">
        <f t="shared" si="12"/>
        <v>2439.8400000000006</v>
      </c>
      <c r="AL7" s="99">
        <f t="shared" si="12"/>
        <v>2439.8400000000006</v>
      </c>
      <c r="AM7" s="99">
        <f t="shared" si="12"/>
        <v>2439.8400000000006</v>
      </c>
      <c r="AN7" s="99">
        <f t="shared" si="12"/>
        <v>2439.8400000000006</v>
      </c>
      <c r="AO7" s="99">
        <f t="shared" si="12"/>
        <v>2439.8400000000006</v>
      </c>
      <c r="AP7" s="99">
        <f>Производство!AD7*Дох!$B6</f>
        <v>29278.080000000005</v>
      </c>
      <c r="AQ7" s="99">
        <f>$BC7/12</f>
        <v>2627.52</v>
      </c>
      <c r="AR7" s="99">
        <f t="shared" si="13"/>
        <v>2627.52</v>
      </c>
      <c r="AS7" s="99">
        <f t="shared" si="13"/>
        <v>2627.52</v>
      </c>
      <c r="AT7" s="99">
        <f t="shared" si="13"/>
        <v>2627.52</v>
      </c>
      <c r="AU7" s="99">
        <f t="shared" si="13"/>
        <v>2627.52</v>
      </c>
      <c r="AV7" s="99">
        <f t="shared" si="13"/>
        <v>2627.52</v>
      </c>
      <c r="AW7" s="99">
        <f t="shared" si="13"/>
        <v>2627.52</v>
      </c>
      <c r="AX7" s="99">
        <f t="shared" si="13"/>
        <v>2627.52</v>
      </c>
      <c r="AY7" s="99">
        <f t="shared" si="13"/>
        <v>2627.52</v>
      </c>
      <c r="AZ7" s="99">
        <f t="shared" si="13"/>
        <v>2627.52</v>
      </c>
      <c r="BA7" s="99">
        <f t="shared" si="13"/>
        <v>2627.52</v>
      </c>
      <c r="BB7" s="99">
        <f t="shared" si="13"/>
        <v>2627.52</v>
      </c>
      <c r="BC7" s="99">
        <f>Производство!AE7*Дох!$B6</f>
        <v>31530.24</v>
      </c>
      <c r="BD7" s="99">
        <f>$BP7/12</f>
        <v>2815.2000000000003</v>
      </c>
      <c r="BE7" s="99">
        <f t="shared" si="14"/>
        <v>2815.2000000000003</v>
      </c>
      <c r="BF7" s="99">
        <f t="shared" si="14"/>
        <v>2815.2000000000003</v>
      </c>
      <c r="BG7" s="99">
        <f t="shared" si="14"/>
        <v>2815.2000000000003</v>
      </c>
      <c r="BH7" s="99">
        <f t="shared" si="14"/>
        <v>2815.2000000000003</v>
      </c>
      <c r="BI7" s="99">
        <f t="shared" si="14"/>
        <v>2815.2000000000003</v>
      </c>
      <c r="BJ7" s="99">
        <f t="shared" si="14"/>
        <v>2815.2000000000003</v>
      </c>
      <c r="BK7" s="99">
        <f t="shared" si="14"/>
        <v>2815.2000000000003</v>
      </c>
      <c r="BL7" s="99">
        <f t="shared" si="14"/>
        <v>2815.2000000000003</v>
      </c>
      <c r="BM7" s="99">
        <f t="shared" si="14"/>
        <v>2815.2000000000003</v>
      </c>
      <c r="BN7" s="99">
        <f t="shared" si="14"/>
        <v>2815.2000000000003</v>
      </c>
      <c r="BO7" s="99">
        <f t="shared" si="14"/>
        <v>2815.2000000000003</v>
      </c>
      <c r="BP7" s="99">
        <f>Производство!AF7*Дох!$B6</f>
        <v>33782.4</v>
      </c>
      <c r="BQ7" s="99">
        <f aca="true" t="shared" si="17" ref="BQ7:CB10">$CC7/12</f>
        <v>3002.8800000000006</v>
      </c>
      <c r="BR7" s="99">
        <f t="shared" si="17"/>
        <v>3002.8800000000006</v>
      </c>
      <c r="BS7" s="99">
        <f t="shared" si="17"/>
        <v>3002.8800000000006</v>
      </c>
      <c r="BT7" s="99">
        <f t="shared" si="17"/>
        <v>3002.8800000000006</v>
      </c>
      <c r="BU7" s="99">
        <f t="shared" si="17"/>
        <v>3002.8800000000006</v>
      </c>
      <c r="BV7" s="99">
        <f t="shared" si="17"/>
        <v>3002.8800000000006</v>
      </c>
      <c r="BW7" s="99">
        <f t="shared" si="17"/>
        <v>3002.8800000000006</v>
      </c>
      <c r="BX7" s="99">
        <f t="shared" si="17"/>
        <v>3002.8800000000006</v>
      </c>
      <c r="BY7" s="99">
        <f t="shared" si="17"/>
        <v>3002.8800000000006</v>
      </c>
      <c r="BZ7" s="99">
        <f t="shared" si="17"/>
        <v>3002.8800000000006</v>
      </c>
      <c r="CA7" s="99">
        <f t="shared" si="17"/>
        <v>3002.8800000000006</v>
      </c>
      <c r="CB7" s="99">
        <f t="shared" si="17"/>
        <v>3002.8800000000006</v>
      </c>
      <c r="CC7" s="99">
        <f>Производство!AG7*Дох!$B6</f>
        <v>36034.560000000005</v>
      </c>
      <c r="CD7" s="99">
        <f>$CP7/12</f>
        <v>3002.8800000000006</v>
      </c>
      <c r="CE7" s="99">
        <f t="shared" si="16"/>
        <v>3002.8800000000006</v>
      </c>
      <c r="CF7" s="99">
        <f t="shared" si="16"/>
        <v>3002.8800000000006</v>
      </c>
      <c r="CG7" s="99">
        <f t="shared" si="16"/>
        <v>3002.8800000000006</v>
      </c>
      <c r="CH7" s="99">
        <f t="shared" si="16"/>
        <v>3002.8800000000006</v>
      </c>
      <c r="CI7" s="99">
        <f t="shared" si="16"/>
        <v>3002.8800000000006</v>
      </c>
      <c r="CJ7" s="99">
        <f t="shared" si="16"/>
        <v>3002.8800000000006</v>
      </c>
      <c r="CK7" s="99">
        <f t="shared" si="16"/>
        <v>3002.8800000000006</v>
      </c>
      <c r="CL7" s="99">
        <f t="shared" si="16"/>
        <v>3002.8800000000006</v>
      </c>
      <c r="CM7" s="99">
        <f t="shared" si="16"/>
        <v>3002.8800000000006</v>
      </c>
      <c r="CN7" s="99">
        <f t="shared" si="16"/>
        <v>3002.8800000000006</v>
      </c>
      <c r="CO7" s="99">
        <f t="shared" si="16"/>
        <v>3002.8800000000006</v>
      </c>
      <c r="CP7" s="99">
        <f>Производство!AH7*Дох!$B6</f>
        <v>36034.560000000005</v>
      </c>
      <c r="CQ7" s="97"/>
    </row>
    <row r="8" spans="1:95" s="89" customFormat="1" ht="12.75">
      <c r="A8" s="98" t="str">
        <f>Дох!A7</f>
        <v>Отруби</v>
      </c>
      <c r="B8" s="95">
        <f t="shared" si="11"/>
        <v>18817.919999999995</v>
      </c>
      <c r="C8" s="96"/>
      <c r="D8" s="99">
        <f>Производство!D7*Дох!$B6/1000</f>
        <v>0</v>
      </c>
      <c r="E8" s="99">
        <f>Производство!E8*Дох!$B7</f>
        <v>0</v>
      </c>
      <c r="F8" s="99">
        <f>Производство!F8*Дох!$B7</f>
        <v>0</v>
      </c>
      <c r="G8" s="99">
        <f>Производство!G8*Дох!$B7</f>
        <v>0</v>
      </c>
      <c r="H8" s="99">
        <f>Производство!H8*Дох!$B7</f>
        <v>103.67999999999999</v>
      </c>
      <c r="I8" s="99">
        <f>Производство!I8*Дох!$B7</f>
        <v>120.95999999999998</v>
      </c>
      <c r="J8" s="99">
        <f>Производство!J8*Дох!$B7</f>
        <v>120.95999999999998</v>
      </c>
      <c r="K8" s="99">
        <f>Производство!K8*Дох!$B7</f>
        <v>138.23999999999998</v>
      </c>
      <c r="L8" s="99">
        <f>Производство!L8*Дох!$B7</f>
        <v>138.23999999999998</v>
      </c>
      <c r="M8" s="99">
        <f>Производство!M8*Дох!$B7</f>
        <v>155.51999999999998</v>
      </c>
      <c r="N8" s="99">
        <f>Производство!N8*Дох!$B7</f>
        <v>155.51999999999998</v>
      </c>
      <c r="O8" s="99">
        <f>Производство!O8*Дох!$B7</f>
        <v>155.51999999999998</v>
      </c>
      <c r="P8" s="96">
        <f>SUM(D8:O8)</f>
        <v>1088.6399999999999</v>
      </c>
      <c r="Q8" s="99">
        <f>Производство!Q8*Дох!$B7</f>
        <v>172.79999999999998</v>
      </c>
      <c r="R8" s="99">
        <f>Производство!R8*Дох!$B7</f>
        <v>172.79999999999998</v>
      </c>
      <c r="S8" s="99">
        <f>Производство!S8*Дох!$B7</f>
        <v>172.79999999999998</v>
      </c>
      <c r="T8" s="99">
        <f>Производство!T8*Дох!$B7</f>
        <v>190.07999999999998</v>
      </c>
      <c r="U8" s="99">
        <f>Производство!U8*Дох!$B7</f>
        <v>190.07999999999998</v>
      </c>
      <c r="V8" s="99">
        <f>Производство!V8*Дох!$B7</f>
        <v>190.07999999999998</v>
      </c>
      <c r="W8" s="99">
        <f>Производство!W8*Дох!$B7</f>
        <v>207.35999999999999</v>
      </c>
      <c r="X8" s="99">
        <f>Производство!X8*Дох!$B7</f>
        <v>207.35999999999999</v>
      </c>
      <c r="Y8" s="99">
        <f>Производство!Y8*Дох!$B7</f>
        <v>207.35999999999999</v>
      </c>
      <c r="Z8" s="99">
        <f>Производство!Z8*Дох!$B7</f>
        <v>224.64</v>
      </c>
      <c r="AA8" s="99">
        <f>Производство!AA8*Дох!$B7</f>
        <v>224.64</v>
      </c>
      <c r="AB8" s="99">
        <f>Производство!AB8*Дох!$B7</f>
        <v>224.64</v>
      </c>
      <c r="AC8" s="96">
        <f>SUM(Q8:AB8)</f>
        <v>2384.6399999999994</v>
      </c>
      <c r="AD8" s="99">
        <f>$AP8/12</f>
        <v>224.64</v>
      </c>
      <c r="AE8" s="99">
        <f t="shared" si="12"/>
        <v>224.64</v>
      </c>
      <c r="AF8" s="99">
        <f t="shared" si="12"/>
        <v>224.64</v>
      </c>
      <c r="AG8" s="99">
        <f t="shared" si="12"/>
        <v>224.64</v>
      </c>
      <c r="AH8" s="99">
        <f t="shared" si="12"/>
        <v>224.64</v>
      </c>
      <c r="AI8" s="99">
        <f t="shared" si="12"/>
        <v>224.64</v>
      </c>
      <c r="AJ8" s="99">
        <f t="shared" si="12"/>
        <v>224.64</v>
      </c>
      <c r="AK8" s="99">
        <f t="shared" si="12"/>
        <v>224.64</v>
      </c>
      <c r="AL8" s="99">
        <f t="shared" si="12"/>
        <v>224.64</v>
      </c>
      <c r="AM8" s="99">
        <f t="shared" si="12"/>
        <v>224.64</v>
      </c>
      <c r="AN8" s="99">
        <f t="shared" si="12"/>
        <v>224.64</v>
      </c>
      <c r="AO8" s="99">
        <f t="shared" si="12"/>
        <v>224.64</v>
      </c>
      <c r="AP8" s="99">
        <f>Производство!AD8*Дох!$B7</f>
        <v>2695.68</v>
      </c>
      <c r="AQ8" s="99">
        <f>$BC8/12</f>
        <v>241.91999999999996</v>
      </c>
      <c r="AR8" s="99">
        <f t="shared" si="13"/>
        <v>241.91999999999996</v>
      </c>
      <c r="AS8" s="99">
        <f t="shared" si="13"/>
        <v>241.91999999999996</v>
      </c>
      <c r="AT8" s="99">
        <f t="shared" si="13"/>
        <v>241.91999999999996</v>
      </c>
      <c r="AU8" s="99">
        <f t="shared" si="13"/>
        <v>241.91999999999996</v>
      </c>
      <c r="AV8" s="99">
        <f t="shared" si="13"/>
        <v>241.91999999999996</v>
      </c>
      <c r="AW8" s="99">
        <f t="shared" si="13"/>
        <v>241.91999999999996</v>
      </c>
      <c r="AX8" s="99">
        <f t="shared" si="13"/>
        <v>241.91999999999996</v>
      </c>
      <c r="AY8" s="99">
        <f t="shared" si="13"/>
        <v>241.91999999999996</v>
      </c>
      <c r="AZ8" s="99">
        <f t="shared" si="13"/>
        <v>241.91999999999996</v>
      </c>
      <c r="BA8" s="99">
        <f t="shared" si="13"/>
        <v>241.91999999999996</v>
      </c>
      <c r="BB8" s="99">
        <f t="shared" si="13"/>
        <v>241.91999999999996</v>
      </c>
      <c r="BC8" s="99">
        <f>Производство!AE8*Дох!$B7</f>
        <v>2903.0399999999995</v>
      </c>
      <c r="BD8" s="99">
        <f>$BP8/12</f>
        <v>259.2</v>
      </c>
      <c r="BE8" s="99">
        <f t="shared" si="14"/>
        <v>259.2</v>
      </c>
      <c r="BF8" s="99">
        <f t="shared" si="14"/>
        <v>259.2</v>
      </c>
      <c r="BG8" s="99">
        <f t="shared" si="14"/>
        <v>259.2</v>
      </c>
      <c r="BH8" s="99">
        <f t="shared" si="14"/>
        <v>259.2</v>
      </c>
      <c r="BI8" s="99">
        <f t="shared" si="14"/>
        <v>259.2</v>
      </c>
      <c r="BJ8" s="99">
        <f t="shared" si="14"/>
        <v>259.2</v>
      </c>
      <c r="BK8" s="99">
        <f t="shared" si="14"/>
        <v>259.2</v>
      </c>
      <c r="BL8" s="99">
        <f t="shared" si="14"/>
        <v>259.2</v>
      </c>
      <c r="BM8" s="99">
        <f t="shared" si="14"/>
        <v>259.2</v>
      </c>
      <c r="BN8" s="99">
        <f t="shared" si="14"/>
        <v>259.2</v>
      </c>
      <c r="BO8" s="99">
        <f t="shared" si="14"/>
        <v>259.2</v>
      </c>
      <c r="BP8" s="99">
        <f>Производство!AF8*Дох!$B7</f>
        <v>3110.3999999999996</v>
      </c>
      <c r="BQ8" s="99">
        <f t="shared" si="17"/>
        <v>276.47999999999996</v>
      </c>
      <c r="BR8" s="99">
        <f t="shared" si="17"/>
        <v>276.47999999999996</v>
      </c>
      <c r="BS8" s="99">
        <f t="shared" si="17"/>
        <v>276.47999999999996</v>
      </c>
      <c r="BT8" s="99">
        <f t="shared" si="17"/>
        <v>276.47999999999996</v>
      </c>
      <c r="BU8" s="99">
        <f t="shared" si="17"/>
        <v>276.47999999999996</v>
      </c>
      <c r="BV8" s="99">
        <f t="shared" si="17"/>
        <v>276.47999999999996</v>
      </c>
      <c r="BW8" s="99">
        <f t="shared" si="17"/>
        <v>276.47999999999996</v>
      </c>
      <c r="BX8" s="99">
        <f t="shared" si="17"/>
        <v>276.47999999999996</v>
      </c>
      <c r="BY8" s="99">
        <f t="shared" si="17"/>
        <v>276.47999999999996</v>
      </c>
      <c r="BZ8" s="99">
        <f t="shared" si="17"/>
        <v>276.47999999999996</v>
      </c>
      <c r="CA8" s="99">
        <f t="shared" si="17"/>
        <v>276.47999999999996</v>
      </c>
      <c r="CB8" s="99">
        <f t="shared" si="17"/>
        <v>276.47999999999996</v>
      </c>
      <c r="CC8" s="99">
        <f>Производство!AG8*Дох!$B7</f>
        <v>3317.7599999999993</v>
      </c>
      <c r="CD8" s="99">
        <f>$CP8/12</f>
        <v>276.47999999999996</v>
      </c>
      <c r="CE8" s="99">
        <f t="shared" si="16"/>
        <v>276.47999999999996</v>
      </c>
      <c r="CF8" s="99">
        <f t="shared" si="16"/>
        <v>276.47999999999996</v>
      </c>
      <c r="CG8" s="99">
        <f t="shared" si="16"/>
        <v>276.47999999999996</v>
      </c>
      <c r="CH8" s="99">
        <f t="shared" si="16"/>
        <v>276.47999999999996</v>
      </c>
      <c r="CI8" s="99">
        <f t="shared" si="16"/>
        <v>276.47999999999996</v>
      </c>
      <c r="CJ8" s="99">
        <f t="shared" si="16"/>
        <v>276.47999999999996</v>
      </c>
      <c r="CK8" s="99">
        <f t="shared" si="16"/>
        <v>276.47999999999996</v>
      </c>
      <c r="CL8" s="99">
        <f t="shared" si="16"/>
        <v>276.47999999999996</v>
      </c>
      <c r="CM8" s="99">
        <f t="shared" si="16"/>
        <v>276.47999999999996</v>
      </c>
      <c r="CN8" s="99">
        <f t="shared" si="16"/>
        <v>276.47999999999996</v>
      </c>
      <c r="CO8" s="99">
        <f t="shared" si="16"/>
        <v>276.47999999999996</v>
      </c>
      <c r="CP8" s="99">
        <f>Производство!AH8*Дох!$B7</f>
        <v>3317.7599999999993</v>
      </c>
      <c r="CQ8" s="97"/>
    </row>
    <row r="9" spans="1:94" ht="15" customHeight="1">
      <c r="A9" s="94" t="s">
        <v>101</v>
      </c>
      <c r="B9" s="95">
        <f t="shared" si="11"/>
        <v>150282</v>
      </c>
      <c r="C9" s="96"/>
      <c r="D9" s="96">
        <f aca="true" t="shared" si="18" ref="D9:CP9">SUM(D10:D11)</f>
        <v>0</v>
      </c>
      <c r="E9" s="96">
        <f t="shared" si="18"/>
        <v>0</v>
      </c>
      <c r="F9" s="96">
        <f t="shared" si="18"/>
        <v>0</v>
      </c>
      <c r="G9" s="96">
        <f t="shared" si="18"/>
        <v>0</v>
      </c>
      <c r="H9" s="96">
        <f t="shared" si="18"/>
        <v>828</v>
      </c>
      <c r="I9" s="96">
        <f t="shared" si="18"/>
        <v>966</v>
      </c>
      <c r="J9" s="96">
        <f t="shared" si="18"/>
        <v>966</v>
      </c>
      <c r="K9" s="96">
        <f t="shared" si="18"/>
        <v>1104</v>
      </c>
      <c r="L9" s="96">
        <f t="shared" si="18"/>
        <v>1104</v>
      </c>
      <c r="M9" s="96">
        <f t="shared" si="18"/>
        <v>1242</v>
      </c>
      <c r="N9" s="96">
        <f t="shared" si="18"/>
        <v>1242</v>
      </c>
      <c r="O9" s="96">
        <f t="shared" si="18"/>
        <v>1242</v>
      </c>
      <c r="P9" s="96">
        <f t="shared" si="18"/>
        <v>8694</v>
      </c>
      <c r="Q9" s="96">
        <f t="shared" si="18"/>
        <v>1380</v>
      </c>
      <c r="R9" s="96">
        <f t="shared" si="18"/>
        <v>1380</v>
      </c>
      <c r="S9" s="96">
        <f t="shared" si="18"/>
        <v>1380</v>
      </c>
      <c r="T9" s="96">
        <f t="shared" si="18"/>
        <v>1518</v>
      </c>
      <c r="U9" s="96">
        <f t="shared" si="18"/>
        <v>1518</v>
      </c>
      <c r="V9" s="96">
        <f t="shared" si="18"/>
        <v>1518</v>
      </c>
      <c r="W9" s="96">
        <f t="shared" si="18"/>
        <v>1656</v>
      </c>
      <c r="X9" s="96">
        <f t="shared" si="18"/>
        <v>1656</v>
      </c>
      <c r="Y9" s="96">
        <f t="shared" si="18"/>
        <v>1656</v>
      </c>
      <c r="Z9" s="96">
        <f t="shared" si="18"/>
        <v>1794</v>
      </c>
      <c r="AA9" s="96">
        <f t="shared" si="18"/>
        <v>1794</v>
      </c>
      <c r="AB9" s="96">
        <f t="shared" si="18"/>
        <v>1794</v>
      </c>
      <c r="AC9" s="96">
        <f t="shared" si="18"/>
        <v>19044</v>
      </c>
      <c r="AD9" s="96">
        <f aca="true" t="shared" si="19" ref="AD9:AO9">SUM(AD10:AD11)</f>
        <v>1794</v>
      </c>
      <c r="AE9" s="96">
        <f t="shared" si="19"/>
        <v>1794</v>
      </c>
      <c r="AF9" s="96">
        <f t="shared" si="19"/>
        <v>1794</v>
      </c>
      <c r="AG9" s="96">
        <f t="shared" si="19"/>
        <v>1794</v>
      </c>
      <c r="AH9" s="96">
        <f t="shared" si="19"/>
        <v>1794</v>
      </c>
      <c r="AI9" s="96">
        <f t="shared" si="19"/>
        <v>1794</v>
      </c>
      <c r="AJ9" s="96">
        <f t="shared" si="19"/>
        <v>1794</v>
      </c>
      <c r="AK9" s="96">
        <f t="shared" si="19"/>
        <v>1794</v>
      </c>
      <c r="AL9" s="96">
        <f t="shared" si="19"/>
        <v>1794</v>
      </c>
      <c r="AM9" s="96">
        <f t="shared" si="19"/>
        <v>1794</v>
      </c>
      <c r="AN9" s="96">
        <f t="shared" si="19"/>
        <v>1794</v>
      </c>
      <c r="AO9" s="96">
        <f t="shared" si="19"/>
        <v>1794</v>
      </c>
      <c r="AP9" s="96">
        <f t="shared" si="18"/>
        <v>21528</v>
      </c>
      <c r="AQ9" s="96">
        <f t="shared" si="18"/>
        <v>1932</v>
      </c>
      <c r="AR9" s="96">
        <f t="shared" si="18"/>
        <v>1932</v>
      </c>
      <c r="AS9" s="96">
        <f t="shared" si="18"/>
        <v>1932</v>
      </c>
      <c r="AT9" s="96">
        <f t="shared" si="18"/>
        <v>1932</v>
      </c>
      <c r="AU9" s="96">
        <f t="shared" si="18"/>
        <v>1932</v>
      </c>
      <c r="AV9" s="96">
        <f t="shared" si="18"/>
        <v>1932</v>
      </c>
      <c r="AW9" s="96">
        <f t="shared" si="18"/>
        <v>1932</v>
      </c>
      <c r="AX9" s="96">
        <f t="shared" si="18"/>
        <v>1932</v>
      </c>
      <c r="AY9" s="96">
        <f t="shared" si="18"/>
        <v>1932</v>
      </c>
      <c r="AZ9" s="96">
        <f t="shared" si="18"/>
        <v>1932</v>
      </c>
      <c r="BA9" s="96">
        <f t="shared" si="18"/>
        <v>1932</v>
      </c>
      <c r="BB9" s="96">
        <f t="shared" si="18"/>
        <v>1932</v>
      </c>
      <c r="BC9" s="96">
        <f t="shared" si="18"/>
        <v>23184</v>
      </c>
      <c r="BD9" s="96">
        <f aca="true" t="shared" si="20" ref="BD9:BO9">SUM(BD10:BD11)</f>
        <v>2070</v>
      </c>
      <c r="BE9" s="96">
        <f t="shared" si="20"/>
        <v>2070</v>
      </c>
      <c r="BF9" s="96">
        <f t="shared" si="20"/>
        <v>2070</v>
      </c>
      <c r="BG9" s="96">
        <f t="shared" si="20"/>
        <v>2070</v>
      </c>
      <c r="BH9" s="96">
        <f t="shared" si="20"/>
        <v>2070</v>
      </c>
      <c r="BI9" s="96">
        <f t="shared" si="20"/>
        <v>2070</v>
      </c>
      <c r="BJ9" s="96">
        <f t="shared" si="20"/>
        <v>2070</v>
      </c>
      <c r="BK9" s="96">
        <f t="shared" si="20"/>
        <v>2070</v>
      </c>
      <c r="BL9" s="96">
        <f t="shared" si="20"/>
        <v>2070</v>
      </c>
      <c r="BM9" s="96">
        <f t="shared" si="20"/>
        <v>2070</v>
      </c>
      <c r="BN9" s="96">
        <f t="shared" si="20"/>
        <v>2070</v>
      </c>
      <c r="BO9" s="96">
        <f t="shared" si="20"/>
        <v>2070</v>
      </c>
      <c r="BP9" s="96">
        <f t="shared" si="18"/>
        <v>24840</v>
      </c>
      <c r="BQ9" s="96">
        <f t="shared" si="18"/>
        <v>2208</v>
      </c>
      <c r="BR9" s="96">
        <f t="shared" si="18"/>
        <v>2208</v>
      </c>
      <c r="BS9" s="96">
        <f t="shared" si="18"/>
        <v>2208</v>
      </c>
      <c r="BT9" s="96">
        <f t="shared" si="18"/>
        <v>2208</v>
      </c>
      <c r="BU9" s="96">
        <f t="shared" si="18"/>
        <v>2208</v>
      </c>
      <c r="BV9" s="96">
        <f t="shared" si="18"/>
        <v>2208</v>
      </c>
      <c r="BW9" s="96">
        <f t="shared" si="18"/>
        <v>2208</v>
      </c>
      <c r="BX9" s="96">
        <f t="shared" si="18"/>
        <v>2208</v>
      </c>
      <c r="BY9" s="96">
        <f t="shared" si="18"/>
        <v>2208</v>
      </c>
      <c r="BZ9" s="96">
        <f t="shared" si="18"/>
        <v>2208</v>
      </c>
      <c r="CA9" s="96">
        <f t="shared" si="18"/>
        <v>2208</v>
      </c>
      <c r="CB9" s="96">
        <f t="shared" si="18"/>
        <v>2208</v>
      </c>
      <c r="CC9" s="96">
        <f t="shared" si="18"/>
        <v>26496</v>
      </c>
      <c r="CD9" s="96">
        <f aca="true" t="shared" si="21" ref="CD9:CO9">SUM(CD10:CD11)</f>
        <v>2208</v>
      </c>
      <c r="CE9" s="96">
        <f t="shared" si="21"/>
        <v>2208</v>
      </c>
      <c r="CF9" s="96">
        <f t="shared" si="21"/>
        <v>2208</v>
      </c>
      <c r="CG9" s="96">
        <f t="shared" si="21"/>
        <v>2208</v>
      </c>
      <c r="CH9" s="96">
        <f t="shared" si="21"/>
        <v>2208</v>
      </c>
      <c r="CI9" s="96">
        <f t="shared" si="21"/>
        <v>2208</v>
      </c>
      <c r="CJ9" s="96">
        <f t="shared" si="21"/>
        <v>2208</v>
      </c>
      <c r="CK9" s="96">
        <f t="shared" si="21"/>
        <v>2208</v>
      </c>
      <c r="CL9" s="96">
        <f t="shared" si="21"/>
        <v>2208</v>
      </c>
      <c r="CM9" s="96">
        <f t="shared" si="21"/>
        <v>2208</v>
      </c>
      <c r="CN9" s="96">
        <f t="shared" si="21"/>
        <v>2208</v>
      </c>
      <c r="CO9" s="96">
        <f t="shared" si="21"/>
        <v>2208</v>
      </c>
      <c r="CP9" s="96">
        <f t="shared" si="18"/>
        <v>26496</v>
      </c>
    </row>
    <row r="10" spans="1:94" ht="12.75">
      <c r="A10" s="98" t="s">
        <v>227</v>
      </c>
      <c r="B10" s="95">
        <f t="shared" si="11"/>
        <v>150282</v>
      </c>
      <c r="C10" s="96"/>
      <c r="D10" s="99">
        <f>Производство!D10*'Расх перем'!$B$6</f>
        <v>0</v>
      </c>
      <c r="E10" s="99">
        <f>Производство!E10*'Расх перем'!$B$6</f>
        <v>0</v>
      </c>
      <c r="F10" s="99">
        <f>Производство!F10*'Расх перем'!$B$6</f>
        <v>0</v>
      </c>
      <c r="G10" s="99">
        <f>Производство!G10*'Расх перем'!$B$6</f>
        <v>0</v>
      </c>
      <c r="H10" s="99">
        <f>Производство!H10*'Расх перем'!$B$6</f>
        <v>828</v>
      </c>
      <c r="I10" s="99">
        <f>Производство!I10*'Расх перем'!$B$6</f>
        <v>966</v>
      </c>
      <c r="J10" s="99">
        <f>Производство!J10*'Расх перем'!$B$6</f>
        <v>966</v>
      </c>
      <c r="K10" s="99">
        <f>Производство!K10*'Расх перем'!$B$6</f>
        <v>1104</v>
      </c>
      <c r="L10" s="99">
        <f>Производство!L10*'Расх перем'!$B$6</f>
        <v>1104</v>
      </c>
      <c r="M10" s="99">
        <f>Производство!M10*'Расх перем'!$B$6</f>
        <v>1242</v>
      </c>
      <c r="N10" s="99">
        <f>Производство!N10*'Расх перем'!$B$6</f>
        <v>1242</v>
      </c>
      <c r="O10" s="99">
        <f>Производство!O10*'Расх перем'!$B$6</f>
        <v>1242</v>
      </c>
      <c r="P10" s="96">
        <f>SUM(D10:O10)</f>
        <v>8694</v>
      </c>
      <c r="Q10" s="99">
        <f>Производство!Q10*'Расх перем'!$B$6</f>
        <v>1380</v>
      </c>
      <c r="R10" s="99">
        <f>Производство!R10*'Расх перем'!$B$6</f>
        <v>1380</v>
      </c>
      <c r="S10" s="99">
        <f>Производство!S10*'Расх перем'!$B$6</f>
        <v>1380</v>
      </c>
      <c r="T10" s="99">
        <f>Производство!T10*'Расх перем'!$B$6</f>
        <v>1518</v>
      </c>
      <c r="U10" s="99">
        <f>Производство!U10*'Расх перем'!$B$6</f>
        <v>1518</v>
      </c>
      <c r="V10" s="99">
        <f>Производство!V10*'Расх перем'!$B$6</f>
        <v>1518</v>
      </c>
      <c r="W10" s="99">
        <f>Производство!W10*'Расх перем'!$B$6</f>
        <v>1656</v>
      </c>
      <c r="X10" s="99">
        <f>Производство!X10*'Расх перем'!$B$6</f>
        <v>1656</v>
      </c>
      <c r="Y10" s="99">
        <f>Производство!Y10*'Расх перем'!$B$6</f>
        <v>1656</v>
      </c>
      <c r="Z10" s="99">
        <f>Производство!Z10*'Расх перем'!$B$6</f>
        <v>1794</v>
      </c>
      <c r="AA10" s="99">
        <f>Производство!AA10*'Расх перем'!$B$6</f>
        <v>1794</v>
      </c>
      <c r="AB10" s="99">
        <f>Производство!AB10*'Расх перем'!$B$6</f>
        <v>1794</v>
      </c>
      <c r="AC10" s="96">
        <f>SUM(Q10:AB10)</f>
        <v>19044</v>
      </c>
      <c r="AD10" s="99">
        <f>$AP10/12</f>
        <v>1794</v>
      </c>
      <c r="AE10" s="99">
        <f t="shared" si="12"/>
        <v>1794</v>
      </c>
      <c r="AF10" s="99">
        <f t="shared" si="12"/>
        <v>1794</v>
      </c>
      <c r="AG10" s="99">
        <f t="shared" si="12"/>
        <v>1794</v>
      </c>
      <c r="AH10" s="99">
        <f t="shared" si="12"/>
        <v>1794</v>
      </c>
      <c r="AI10" s="99">
        <f t="shared" si="12"/>
        <v>1794</v>
      </c>
      <c r="AJ10" s="99">
        <f t="shared" si="12"/>
        <v>1794</v>
      </c>
      <c r="AK10" s="99">
        <f t="shared" si="12"/>
        <v>1794</v>
      </c>
      <c r="AL10" s="99">
        <f t="shared" si="12"/>
        <v>1794</v>
      </c>
      <c r="AM10" s="99">
        <f t="shared" si="12"/>
        <v>1794</v>
      </c>
      <c r="AN10" s="99">
        <f t="shared" si="12"/>
        <v>1794</v>
      </c>
      <c r="AO10" s="99">
        <f t="shared" si="12"/>
        <v>1794</v>
      </c>
      <c r="AP10" s="99">
        <f>Производство!AD10*'Расх перем'!$B$6</f>
        <v>21528</v>
      </c>
      <c r="AQ10" s="99">
        <f>$BC10/12</f>
        <v>1932</v>
      </c>
      <c r="AR10" s="99">
        <f t="shared" si="13"/>
        <v>1932</v>
      </c>
      <c r="AS10" s="99">
        <f t="shared" si="13"/>
        <v>1932</v>
      </c>
      <c r="AT10" s="99">
        <f t="shared" si="13"/>
        <v>1932</v>
      </c>
      <c r="AU10" s="99">
        <f t="shared" si="13"/>
        <v>1932</v>
      </c>
      <c r="AV10" s="99">
        <f t="shared" si="13"/>
        <v>1932</v>
      </c>
      <c r="AW10" s="99">
        <f t="shared" si="13"/>
        <v>1932</v>
      </c>
      <c r="AX10" s="99">
        <f t="shared" si="13"/>
        <v>1932</v>
      </c>
      <c r="AY10" s="99">
        <f t="shared" si="13"/>
        <v>1932</v>
      </c>
      <c r="AZ10" s="99">
        <f t="shared" si="13"/>
        <v>1932</v>
      </c>
      <c r="BA10" s="99">
        <f t="shared" si="13"/>
        <v>1932</v>
      </c>
      <c r="BB10" s="99">
        <f t="shared" si="13"/>
        <v>1932</v>
      </c>
      <c r="BC10" s="99">
        <f>Производство!AE10*'Расх перем'!$B$6</f>
        <v>23184</v>
      </c>
      <c r="BD10" s="99">
        <f>$BP10/12</f>
        <v>2070</v>
      </c>
      <c r="BE10" s="99">
        <f t="shared" si="14"/>
        <v>2070</v>
      </c>
      <c r="BF10" s="99">
        <f t="shared" si="14"/>
        <v>2070</v>
      </c>
      <c r="BG10" s="99">
        <f t="shared" si="14"/>
        <v>2070</v>
      </c>
      <c r="BH10" s="99">
        <f t="shared" si="14"/>
        <v>2070</v>
      </c>
      <c r="BI10" s="99">
        <f t="shared" si="14"/>
        <v>2070</v>
      </c>
      <c r="BJ10" s="99">
        <f t="shared" si="14"/>
        <v>2070</v>
      </c>
      <c r="BK10" s="99">
        <f t="shared" si="14"/>
        <v>2070</v>
      </c>
      <c r="BL10" s="99">
        <f t="shared" si="14"/>
        <v>2070</v>
      </c>
      <c r="BM10" s="99">
        <f t="shared" si="14"/>
        <v>2070</v>
      </c>
      <c r="BN10" s="99">
        <f t="shared" si="14"/>
        <v>2070</v>
      </c>
      <c r="BO10" s="99">
        <f t="shared" si="14"/>
        <v>2070</v>
      </c>
      <c r="BP10" s="99">
        <f>Производство!AF10*'Расх перем'!$B$6</f>
        <v>24840</v>
      </c>
      <c r="BQ10" s="99">
        <f t="shared" si="17"/>
        <v>2208</v>
      </c>
      <c r="BR10" s="99">
        <f t="shared" si="17"/>
        <v>2208</v>
      </c>
      <c r="BS10" s="99">
        <f t="shared" si="17"/>
        <v>2208</v>
      </c>
      <c r="BT10" s="99">
        <f t="shared" si="17"/>
        <v>2208</v>
      </c>
      <c r="BU10" s="99">
        <f t="shared" si="17"/>
        <v>2208</v>
      </c>
      <c r="BV10" s="99">
        <f t="shared" si="17"/>
        <v>2208</v>
      </c>
      <c r="BW10" s="99">
        <f t="shared" si="17"/>
        <v>2208</v>
      </c>
      <c r="BX10" s="99">
        <f t="shared" si="17"/>
        <v>2208</v>
      </c>
      <c r="BY10" s="99">
        <f t="shared" si="17"/>
        <v>2208</v>
      </c>
      <c r="BZ10" s="99">
        <f t="shared" si="17"/>
        <v>2208</v>
      </c>
      <c r="CA10" s="99">
        <f t="shared" si="17"/>
        <v>2208</v>
      </c>
      <c r="CB10" s="99">
        <f t="shared" si="17"/>
        <v>2208</v>
      </c>
      <c r="CC10" s="99">
        <f>Производство!AG10*'Расх перем'!$B$6</f>
        <v>26496</v>
      </c>
      <c r="CD10" s="99">
        <f aca="true" t="shared" si="22" ref="CD10:CO10">$CC10/12</f>
        <v>2208</v>
      </c>
      <c r="CE10" s="99">
        <f t="shared" si="22"/>
        <v>2208</v>
      </c>
      <c r="CF10" s="99">
        <f t="shared" si="22"/>
        <v>2208</v>
      </c>
      <c r="CG10" s="99">
        <f t="shared" si="22"/>
        <v>2208</v>
      </c>
      <c r="CH10" s="99">
        <f t="shared" si="22"/>
        <v>2208</v>
      </c>
      <c r="CI10" s="99">
        <f t="shared" si="22"/>
        <v>2208</v>
      </c>
      <c r="CJ10" s="99">
        <f t="shared" si="22"/>
        <v>2208</v>
      </c>
      <c r="CK10" s="99">
        <f t="shared" si="22"/>
        <v>2208</v>
      </c>
      <c r="CL10" s="99">
        <f t="shared" si="22"/>
        <v>2208</v>
      </c>
      <c r="CM10" s="99">
        <f t="shared" si="22"/>
        <v>2208</v>
      </c>
      <c r="CN10" s="99">
        <f t="shared" si="22"/>
        <v>2208</v>
      </c>
      <c r="CO10" s="99">
        <f t="shared" si="22"/>
        <v>2208</v>
      </c>
      <c r="CP10" s="99">
        <f>Производство!AH10*'Расх перем'!$B$6</f>
        <v>26496</v>
      </c>
    </row>
    <row r="11" spans="1:94" ht="4.5" customHeight="1">
      <c r="A11" s="98"/>
      <c r="B11" s="95">
        <f t="shared" si="11"/>
        <v>0</v>
      </c>
      <c r="C11" s="96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6">
        <f>SUM(D11:O11)</f>
        <v>0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6">
        <f>SUM(Q11:AB11)</f>
        <v>0</v>
      </c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</row>
    <row r="12" spans="1:94" s="89" customFormat="1" ht="15" customHeight="1">
      <c r="A12" s="94" t="s">
        <v>17</v>
      </c>
      <c r="B12" s="95">
        <f t="shared" si="11"/>
        <v>122316.48000000001</v>
      </c>
      <c r="C12" s="100"/>
      <c r="D12" s="96">
        <f aca="true" t="shared" si="23" ref="D12:CP12">D5-D9</f>
        <v>0</v>
      </c>
      <c r="E12" s="96">
        <f t="shared" si="23"/>
        <v>0</v>
      </c>
      <c r="F12" s="96">
        <f t="shared" si="23"/>
        <v>0</v>
      </c>
      <c r="G12" s="96">
        <f t="shared" si="23"/>
        <v>0</v>
      </c>
      <c r="H12" s="96">
        <f t="shared" si="23"/>
        <v>673.9199999999998</v>
      </c>
      <c r="I12" s="96">
        <f t="shared" si="23"/>
        <v>786.24</v>
      </c>
      <c r="J12" s="96">
        <f t="shared" si="23"/>
        <v>786.24</v>
      </c>
      <c r="K12" s="96">
        <f t="shared" si="23"/>
        <v>898.5600000000002</v>
      </c>
      <c r="L12" s="96">
        <f t="shared" si="23"/>
        <v>898.5600000000002</v>
      </c>
      <c r="M12" s="96">
        <f t="shared" si="23"/>
        <v>1010.8800000000001</v>
      </c>
      <c r="N12" s="96">
        <f t="shared" si="23"/>
        <v>1010.8800000000001</v>
      </c>
      <c r="O12" s="96">
        <f t="shared" si="23"/>
        <v>1010.8800000000001</v>
      </c>
      <c r="P12" s="96">
        <f t="shared" si="23"/>
        <v>7076.1600000000035</v>
      </c>
      <c r="Q12" s="96">
        <f t="shared" si="23"/>
        <v>1123.2000000000003</v>
      </c>
      <c r="R12" s="96">
        <f t="shared" si="23"/>
        <v>1123.2000000000003</v>
      </c>
      <c r="S12" s="96">
        <f t="shared" si="23"/>
        <v>1123.2000000000003</v>
      </c>
      <c r="T12" s="96">
        <f t="shared" si="23"/>
        <v>1235.52</v>
      </c>
      <c r="U12" s="96">
        <f t="shared" si="23"/>
        <v>1235.52</v>
      </c>
      <c r="V12" s="96">
        <f t="shared" si="23"/>
        <v>1235.52</v>
      </c>
      <c r="W12" s="96">
        <f t="shared" si="23"/>
        <v>1347.8399999999997</v>
      </c>
      <c r="X12" s="96">
        <f t="shared" si="23"/>
        <v>1347.8399999999997</v>
      </c>
      <c r="Y12" s="96">
        <f t="shared" si="23"/>
        <v>1347.8399999999997</v>
      </c>
      <c r="Z12" s="96">
        <f t="shared" si="23"/>
        <v>1460.1599999999999</v>
      </c>
      <c r="AA12" s="96">
        <f t="shared" si="23"/>
        <v>1460.1599999999999</v>
      </c>
      <c r="AB12" s="96">
        <f t="shared" si="23"/>
        <v>1460.1599999999999</v>
      </c>
      <c r="AC12" s="96">
        <f t="shared" si="23"/>
        <v>15500.160000000003</v>
      </c>
      <c r="AD12" s="96">
        <f aca="true" t="shared" si="24" ref="AD12:AO12">AD5-AD9</f>
        <v>1460.1600000000003</v>
      </c>
      <c r="AE12" s="96">
        <f t="shared" si="24"/>
        <v>1460.1600000000003</v>
      </c>
      <c r="AF12" s="96">
        <f t="shared" si="24"/>
        <v>1460.1600000000003</v>
      </c>
      <c r="AG12" s="96">
        <f t="shared" si="24"/>
        <v>1460.1600000000003</v>
      </c>
      <c r="AH12" s="96">
        <f t="shared" si="24"/>
        <v>1460.1600000000003</v>
      </c>
      <c r="AI12" s="96">
        <f t="shared" si="24"/>
        <v>1460.1600000000003</v>
      </c>
      <c r="AJ12" s="96">
        <f t="shared" si="24"/>
        <v>1460.1600000000003</v>
      </c>
      <c r="AK12" s="96">
        <f t="shared" si="24"/>
        <v>1460.1600000000003</v>
      </c>
      <c r="AL12" s="96">
        <f t="shared" si="24"/>
        <v>1460.1600000000003</v>
      </c>
      <c r="AM12" s="96">
        <f t="shared" si="24"/>
        <v>1460.1600000000003</v>
      </c>
      <c r="AN12" s="96">
        <f t="shared" si="24"/>
        <v>1460.1600000000003</v>
      </c>
      <c r="AO12" s="96">
        <f t="shared" si="24"/>
        <v>1460.1600000000003</v>
      </c>
      <c r="AP12" s="96">
        <f t="shared" si="23"/>
        <v>17521.920000000006</v>
      </c>
      <c r="AQ12" s="96">
        <f t="shared" si="23"/>
        <v>1572.48</v>
      </c>
      <c r="AR12" s="96">
        <f t="shared" si="23"/>
        <v>1572.48</v>
      </c>
      <c r="AS12" s="96">
        <f t="shared" si="23"/>
        <v>1572.48</v>
      </c>
      <c r="AT12" s="96">
        <f t="shared" si="23"/>
        <v>1572.48</v>
      </c>
      <c r="AU12" s="96">
        <f t="shared" si="23"/>
        <v>1572.48</v>
      </c>
      <c r="AV12" s="96">
        <f t="shared" si="23"/>
        <v>1572.48</v>
      </c>
      <c r="AW12" s="96">
        <f t="shared" si="23"/>
        <v>1572.48</v>
      </c>
      <c r="AX12" s="96">
        <f t="shared" si="23"/>
        <v>1572.48</v>
      </c>
      <c r="AY12" s="96">
        <f t="shared" si="23"/>
        <v>1572.48</v>
      </c>
      <c r="AZ12" s="96">
        <f t="shared" si="23"/>
        <v>1572.48</v>
      </c>
      <c r="BA12" s="96">
        <f t="shared" si="23"/>
        <v>1572.48</v>
      </c>
      <c r="BB12" s="96">
        <f t="shared" si="23"/>
        <v>1572.48</v>
      </c>
      <c r="BC12" s="96">
        <f t="shared" si="23"/>
        <v>18869.760000000002</v>
      </c>
      <c r="BD12" s="96">
        <f aca="true" t="shared" si="25" ref="BD12:BO12">BD5-BD9</f>
        <v>1684.8000000000002</v>
      </c>
      <c r="BE12" s="96">
        <f t="shared" si="25"/>
        <v>1684.8000000000002</v>
      </c>
      <c r="BF12" s="96">
        <f t="shared" si="25"/>
        <v>1684.8000000000002</v>
      </c>
      <c r="BG12" s="96">
        <f t="shared" si="25"/>
        <v>1684.8000000000002</v>
      </c>
      <c r="BH12" s="96">
        <f t="shared" si="25"/>
        <v>1684.8000000000002</v>
      </c>
      <c r="BI12" s="96">
        <f t="shared" si="25"/>
        <v>1684.8000000000002</v>
      </c>
      <c r="BJ12" s="96">
        <f t="shared" si="25"/>
        <v>1684.8000000000002</v>
      </c>
      <c r="BK12" s="96">
        <f t="shared" si="25"/>
        <v>1684.8000000000002</v>
      </c>
      <c r="BL12" s="96">
        <f t="shared" si="25"/>
        <v>1684.8000000000002</v>
      </c>
      <c r="BM12" s="96">
        <f t="shared" si="25"/>
        <v>1684.8000000000002</v>
      </c>
      <c r="BN12" s="96">
        <f t="shared" si="25"/>
        <v>1684.8000000000002</v>
      </c>
      <c r="BO12" s="96">
        <f t="shared" si="25"/>
        <v>1684.8000000000002</v>
      </c>
      <c r="BP12" s="96">
        <f t="shared" si="23"/>
        <v>20217.6</v>
      </c>
      <c r="BQ12" s="96">
        <f t="shared" si="23"/>
        <v>1797.1200000000008</v>
      </c>
      <c r="BR12" s="96">
        <f t="shared" si="23"/>
        <v>1797.1200000000008</v>
      </c>
      <c r="BS12" s="96">
        <f t="shared" si="23"/>
        <v>1797.1200000000008</v>
      </c>
      <c r="BT12" s="96">
        <f t="shared" si="23"/>
        <v>1797.1200000000008</v>
      </c>
      <c r="BU12" s="96">
        <f t="shared" si="23"/>
        <v>1797.1200000000008</v>
      </c>
      <c r="BV12" s="96">
        <f t="shared" si="23"/>
        <v>1797.1200000000008</v>
      </c>
      <c r="BW12" s="96">
        <f t="shared" si="23"/>
        <v>1797.1200000000008</v>
      </c>
      <c r="BX12" s="96">
        <f t="shared" si="23"/>
        <v>1797.1200000000008</v>
      </c>
      <c r="BY12" s="96">
        <f t="shared" si="23"/>
        <v>1797.1200000000008</v>
      </c>
      <c r="BZ12" s="96">
        <f t="shared" si="23"/>
        <v>1797.1200000000008</v>
      </c>
      <c r="CA12" s="96">
        <f t="shared" si="23"/>
        <v>1797.1200000000008</v>
      </c>
      <c r="CB12" s="96">
        <f t="shared" si="23"/>
        <v>1797.1200000000008</v>
      </c>
      <c r="CC12" s="96">
        <f t="shared" si="23"/>
        <v>21565.44000000001</v>
      </c>
      <c r="CD12" s="96">
        <f aca="true" t="shared" si="26" ref="CD12:CO12">CD5-CD9</f>
        <v>1797.1200000000008</v>
      </c>
      <c r="CE12" s="96">
        <f t="shared" si="26"/>
        <v>1797.1200000000008</v>
      </c>
      <c r="CF12" s="96">
        <f t="shared" si="26"/>
        <v>1797.1200000000008</v>
      </c>
      <c r="CG12" s="96">
        <f t="shared" si="26"/>
        <v>1797.1200000000008</v>
      </c>
      <c r="CH12" s="96">
        <f t="shared" si="26"/>
        <v>1797.1200000000008</v>
      </c>
      <c r="CI12" s="96">
        <f t="shared" si="26"/>
        <v>1797.1200000000008</v>
      </c>
      <c r="CJ12" s="96">
        <f t="shared" si="26"/>
        <v>1797.1200000000008</v>
      </c>
      <c r="CK12" s="96">
        <f t="shared" si="26"/>
        <v>1797.1200000000008</v>
      </c>
      <c r="CL12" s="96">
        <f t="shared" si="26"/>
        <v>1797.1200000000008</v>
      </c>
      <c r="CM12" s="96">
        <f t="shared" si="26"/>
        <v>1797.1200000000008</v>
      </c>
      <c r="CN12" s="96">
        <f t="shared" si="26"/>
        <v>1797.1200000000008</v>
      </c>
      <c r="CO12" s="96">
        <f t="shared" si="26"/>
        <v>1797.1200000000008</v>
      </c>
      <c r="CP12" s="96">
        <f t="shared" si="23"/>
        <v>21565.44000000001</v>
      </c>
    </row>
    <row r="13" spans="1:94" ht="15" customHeight="1">
      <c r="A13" s="101" t="s">
        <v>155</v>
      </c>
      <c r="B13" s="95">
        <f t="shared" si="11"/>
        <v>68009.51789999999</v>
      </c>
      <c r="C13" s="96"/>
      <c r="D13" s="99"/>
      <c r="E13" s="99"/>
      <c r="F13" s="99"/>
      <c r="G13" s="99">
        <f>Пост!$C$16+Пост!$C$18+Пост!$C$21</f>
        <v>796.7997</v>
      </c>
      <c r="H13" s="99">
        <f>Пост!$C$16+Пост!$C$18+Пост!$C$21</f>
        <v>796.7997</v>
      </c>
      <c r="I13" s="99">
        <f>Пост!$C$16+Пост!$C$18+Пост!$C$21</f>
        <v>796.7997</v>
      </c>
      <c r="J13" s="99">
        <f>Пост!$C$16+Пост!$C$18+Пост!$C$21</f>
        <v>796.7997</v>
      </c>
      <c r="K13" s="99">
        <f>Пост!$C$16+Пост!$C$18+Пост!$C$21</f>
        <v>796.7997</v>
      </c>
      <c r="L13" s="99">
        <f>Пост!$C$16+Пост!$C$18+Пост!$C$21</f>
        <v>796.7997</v>
      </c>
      <c r="M13" s="99">
        <f>Пост!$C$16+Пост!$C$18+Пост!$C$21</f>
        <v>796.7997</v>
      </c>
      <c r="N13" s="99">
        <f>Пост!$C$16+Пост!$C$18+Пост!$C$21</f>
        <v>796.7997</v>
      </c>
      <c r="O13" s="99">
        <f>Пост!$C$16+Пост!$C$18+Пост!$C$21</f>
        <v>796.7997</v>
      </c>
      <c r="P13" s="96">
        <f aca="true" t="shared" si="27" ref="P13:P18">SUM(D13:O13)</f>
        <v>7171.1973</v>
      </c>
      <c r="Q13" s="99">
        <f>Пост!$D$16+Пост!$D$18+Пост!$D$21</f>
        <v>826.70265</v>
      </c>
      <c r="R13" s="99">
        <f>Пост!$D$16+Пост!$D$18+Пост!$D$21</f>
        <v>826.70265</v>
      </c>
      <c r="S13" s="99">
        <f>Пост!$D$16+Пост!$D$18+Пост!$D$21</f>
        <v>826.70265</v>
      </c>
      <c r="T13" s="99">
        <f>Пост!$D$16+Пост!$D$18+Пост!$D$21</f>
        <v>826.70265</v>
      </c>
      <c r="U13" s="99">
        <f>Пост!$D$16+Пост!$D$18+Пост!$D$21</f>
        <v>826.70265</v>
      </c>
      <c r="V13" s="99">
        <f>Пост!$D$16+Пост!$D$18+Пост!$D$21</f>
        <v>826.70265</v>
      </c>
      <c r="W13" s="99">
        <f>Пост!$D$16+Пост!$D$18+Пост!$D$21</f>
        <v>826.70265</v>
      </c>
      <c r="X13" s="99">
        <f>Пост!$D$16+Пост!$D$18+Пост!$D$21</f>
        <v>826.70265</v>
      </c>
      <c r="Y13" s="99">
        <f>Пост!$D$16+Пост!$D$18+Пост!$D$21</f>
        <v>826.70265</v>
      </c>
      <c r="Z13" s="99">
        <f>Пост!$D$16+Пост!$D$18+Пост!$D$21</f>
        <v>826.70265</v>
      </c>
      <c r="AA13" s="99">
        <f>Пост!$D$16+Пост!$D$18+Пост!$D$21</f>
        <v>826.70265</v>
      </c>
      <c r="AB13" s="99">
        <f>Пост!$D$16+Пост!$D$18+Пост!$D$21</f>
        <v>826.70265</v>
      </c>
      <c r="AC13" s="96">
        <f aca="true" t="shared" si="28" ref="AC13:AC18">SUM(Q13:AB13)</f>
        <v>9920.431799999998</v>
      </c>
      <c r="AD13" s="99">
        <f aca="true" t="shared" si="29" ref="AD13:AO14">$AP13/12</f>
        <v>836.6703000000001</v>
      </c>
      <c r="AE13" s="99">
        <f t="shared" si="29"/>
        <v>836.6703000000001</v>
      </c>
      <c r="AF13" s="99">
        <f t="shared" si="29"/>
        <v>836.6703000000001</v>
      </c>
      <c r="AG13" s="99">
        <f t="shared" si="29"/>
        <v>836.6703000000001</v>
      </c>
      <c r="AH13" s="99">
        <f t="shared" si="29"/>
        <v>836.6703000000001</v>
      </c>
      <c r="AI13" s="99">
        <f t="shared" si="29"/>
        <v>836.6703000000001</v>
      </c>
      <c r="AJ13" s="99">
        <f t="shared" si="29"/>
        <v>836.6703000000001</v>
      </c>
      <c r="AK13" s="99">
        <f t="shared" si="29"/>
        <v>836.6703000000001</v>
      </c>
      <c r="AL13" s="99">
        <f t="shared" si="29"/>
        <v>836.6703000000001</v>
      </c>
      <c r="AM13" s="99">
        <f t="shared" si="29"/>
        <v>836.6703000000001</v>
      </c>
      <c r="AN13" s="99">
        <f t="shared" si="29"/>
        <v>836.6703000000001</v>
      </c>
      <c r="AO13" s="99">
        <f t="shared" si="29"/>
        <v>836.6703000000001</v>
      </c>
      <c r="AP13" s="99">
        <f>(Пост!E16+Пост!E18+Пост!E21)*12</f>
        <v>10040.0436</v>
      </c>
      <c r="AQ13" s="99">
        <f aca="true" t="shared" si="30" ref="AQ13:BB14">$BC13/12</f>
        <v>843.3154</v>
      </c>
      <c r="AR13" s="99">
        <f t="shared" si="30"/>
        <v>843.3154</v>
      </c>
      <c r="AS13" s="99">
        <f t="shared" si="30"/>
        <v>843.3154</v>
      </c>
      <c r="AT13" s="99">
        <f t="shared" si="30"/>
        <v>843.3154</v>
      </c>
      <c r="AU13" s="99">
        <f t="shared" si="30"/>
        <v>843.3154</v>
      </c>
      <c r="AV13" s="99">
        <f t="shared" si="30"/>
        <v>843.3154</v>
      </c>
      <c r="AW13" s="99">
        <f t="shared" si="30"/>
        <v>843.3154</v>
      </c>
      <c r="AX13" s="99">
        <f t="shared" si="30"/>
        <v>843.3154</v>
      </c>
      <c r="AY13" s="99">
        <f t="shared" si="30"/>
        <v>843.3154</v>
      </c>
      <c r="AZ13" s="99">
        <f t="shared" si="30"/>
        <v>843.3154</v>
      </c>
      <c r="BA13" s="99">
        <f t="shared" si="30"/>
        <v>843.3154</v>
      </c>
      <c r="BB13" s="99">
        <f t="shared" si="30"/>
        <v>843.3154</v>
      </c>
      <c r="BC13" s="99">
        <f>(Пост!F16+Пост!F18+Пост!F21)*12</f>
        <v>10119.7848</v>
      </c>
      <c r="BD13" s="99">
        <f aca="true" t="shared" si="31" ref="BD13:BO14">$BP13/12</f>
        <v>849.9605</v>
      </c>
      <c r="BE13" s="99">
        <f t="shared" si="31"/>
        <v>849.9605</v>
      </c>
      <c r="BF13" s="99">
        <f t="shared" si="31"/>
        <v>849.9605</v>
      </c>
      <c r="BG13" s="99">
        <f t="shared" si="31"/>
        <v>849.9605</v>
      </c>
      <c r="BH13" s="99">
        <f t="shared" si="31"/>
        <v>849.9605</v>
      </c>
      <c r="BI13" s="99">
        <f t="shared" si="31"/>
        <v>849.9605</v>
      </c>
      <c r="BJ13" s="99">
        <f t="shared" si="31"/>
        <v>849.9605</v>
      </c>
      <c r="BK13" s="99">
        <f t="shared" si="31"/>
        <v>849.9605</v>
      </c>
      <c r="BL13" s="99">
        <f t="shared" si="31"/>
        <v>849.9605</v>
      </c>
      <c r="BM13" s="99">
        <f t="shared" si="31"/>
        <v>849.9605</v>
      </c>
      <c r="BN13" s="99">
        <f t="shared" si="31"/>
        <v>849.9605</v>
      </c>
      <c r="BO13" s="99">
        <f t="shared" si="31"/>
        <v>849.9605</v>
      </c>
      <c r="BP13" s="99">
        <f>(Пост!G16+Пост!G18+Пост!G21)*12</f>
        <v>10199.526</v>
      </c>
      <c r="BQ13" s="99">
        <f aca="true" t="shared" si="32" ref="BQ13:CB14">$CC13/12</f>
        <v>856.6056</v>
      </c>
      <c r="BR13" s="99">
        <f t="shared" si="32"/>
        <v>856.6056</v>
      </c>
      <c r="BS13" s="99">
        <f t="shared" si="32"/>
        <v>856.6056</v>
      </c>
      <c r="BT13" s="99">
        <f t="shared" si="32"/>
        <v>856.6056</v>
      </c>
      <c r="BU13" s="99">
        <f t="shared" si="32"/>
        <v>856.6056</v>
      </c>
      <c r="BV13" s="99">
        <f t="shared" si="32"/>
        <v>856.6056</v>
      </c>
      <c r="BW13" s="99">
        <f t="shared" si="32"/>
        <v>856.6056</v>
      </c>
      <c r="BX13" s="99">
        <f t="shared" si="32"/>
        <v>856.6056</v>
      </c>
      <c r="BY13" s="99">
        <f t="shared" si="32"/>
        <v>856.6056</v>
      </c>
      <c r="BZ13" s="99">
        <f t="shared" si="32"/>
        <v>856.6056</v>
      </c>
      <c r="CA13" s="99">
        <f t="shared" si="32"/>
        <v>856.6056</v>
      </c>
      <c r="CB13" s="99">
        <f t="shared" si="32"/>
        <v>856.6056</v>
      </c>
      <c r="CC13" s="99">
        <f>(Пост!H16+Пост!H18+Пост!H21)*12</f>
        <v>10279.2672</v>
      </c>
      <c r="CD13" s="99">
        <f aca="true" t="shared" si="33" ref="CD13:CO14">$CP13/12</f>
        <v>856.6056</v>
      </c>
      <c r="CE13" s="99">
        <f t="shared" si="33"/>
        <v>856.6056</v>
      </c>
      <c r="CF13" s="99">
        <f t="shared" si="33"/>
        <v>856.6056</v>
      </c>
      <c r="CG13" s="99">
        <f t="shared" si="33"/>
        <v>856.6056</v>
      </c>
      <c r="CH13" s="99">
        <f t="shared" si="33"/>
        <v>856.6056</v>
      </c>
      <c r="CI13" s="99">
        <f t="shared" si="33"/>
        <v>856.6056</v>
      </c>
      <c r="CJ13" s="99">
        <f t="shared" si="33"/>
        <v>856.6056</v>
      </c>
      <c r="CK13" s="99">
        <f t="shared" si="33"/>
        <v>856.6056</v>
      </c>
      <c r="CL13" s="99">
        <f t="shared" si="33"/>
        <v>856.6056</v>
      </c>
      <c r="CM13" s="99">
        <f t="shared" si="33"/>
        <v>856.6056</v>
      </c>
      <c r="CN13" s="99">
        <f t="shared" si="33"/>
        <v>856.6056</v>
      </c>
      <c r="CO13" s="99">
        <f t="shared" si="33"/>
        <v>856.6056</v>
      </c>
      <c r="CP13" s="99">
        <f>(Пост!I16+Пост!I18+Пост!I21)*12</f>
        <v>10279.2672</v>
      </c>
    </row>
    <row r="14" spans="1:94" ht="15" customHeight="1">
      <c r="A14" s="101" t="s">
        <v>78</v>
      </c>
      <c r="B14" s="95">
        <f t="shared" si="11"/>
        <v>8308.575</v>
      </c>
      <c r="C14" s="96"/>
      <c r="D14" s="99"/>
      <c r="E14" s="99"/>
      <c r="F14" s="99"/>
      <c r="G14" s="99">
        <f>Пост!$C$31/12</f>
        <v>102.575</v>
      </c>
      <c r="H14" s="99">
        <f>Пост!$C$31/12</f>
        <v>102.575</v>
      </c>
      <c r="I14" s="99">
        <f>Пост!$C$31/12</f>
        <v>102.575</v>
      </c>
      <c r="J14" s="99">
        <f>Пост!$C$31/12</f>
        <v>102.575</v>
      </c>
      <c r="K14" s="99">
        <f>Пост!$C$31/12</f>
        <v>102.575</v>
      </c>
      <c r="L14" s="99">
        <f>Пост!$C$31/12</f>
        <v>102.575</v>
      </c>
      <c r="M14" s="99">
        <f>Пост!$C$31/12</f>
        <v>102.575</v>
      </c>
      <c r="N14" s="99">
        <f>Пост!$C$31/12</f>
        <v>102.575</v>
      </c>
      <c r="O14" s="99">
        <f>Пост!$C$31/12</f>
        <v>102.575</v>
      </c>
      <c r="P14" s="96">
        <f t="shared" si="27"/>
        <v>923.1750000000002</v>
      </c>
      <c r="Q14" s="99">
        <f>Пост!$D$31/12</f>
        <v>102.575</v>
      </c>
      <c r="R14" s="99">
        <f>Пост!$D$31/12</f>
        <v>102.575</v>
      </c>
      <c r="S14" s="99">
        <f>Пост!$D$31/12</f>
        <v>102.575</v>
      </c>
      <c r="T14" s="99">
        <f>Пост!$D$31/12</f>
        <v>102.575</v>
      </c>
      <c r="U14" s="99">
        <f>Пост!$D$31/12</f>
        <v>102.575</v>
      </c>
      <c r="V14" s="99">
        <f>Пост!$D$31/12</f>
        <v>102.575</v>
      </c>
      <c r="W14" s="99">
        <f>Пост!$D$31/12</f>
        <v>102.575</v>
      </c>
      <c r="X14" s="99">
        <f>Пост!$D$31/12</f>
        <v>102.575</v>
      </c>
      <c r="Y14" s="99">
        <f>Пост!$D$31/12</f>
        <v>102.575</v>
      </c>
      <c r="Z14" s="99">
        <f>Пост!$D$31/12</f>
        <v>102.575</v>
      </c>
      <c r="AA14" s="99">
        <f>Пост!$D$31/12</f>
        <v>102.575</v>
      </c>
      <c r="AB14" s="99">
        <f>Пост!$D$31/12</f>
        <v>102.575</v>
      </c>
      <c r="AC14" s="96">
        <f t="shared" si="28"/>
        <v>1230.9000000000003</v>
      </c>
      <c r="AD14" s="99">
        <f t="shared" si="29"/>
        <v>102.575</v>
      </c>
      <c r="AE14" s="99">
        <f t="shared" si="29"/>
        <v>102.575</v>
      </c>
      <c r="AF14" s="99">
        <f t="shared" si="29"/>
        <v>102.575</v>
      </c>
      <c r="AG14" s="99">
        <f t="shared" si="29"/>
        <v>102.575</v>
      </c>
      <c r="AH14" s="99">
        <f t="shared" si="29"/>
        <v>102.575</v>
      </c>
      <c r="AI14" s="99">
        <f t="shared" si="29"/>
        <v>102.575</v>
      </c>
      <c r="AJ14" s="99">
        <f t="shared" si="29"/>
        <v>102.575</v>
      </c>
      <c r="AK14" s="99">
        <f t="shared" si="29"/>
        <v>102.575</v>
      </c>
      <c r="AL14" s="99">
        <f t="shared" si="29"/>
        <v>102.575</v>
      </c>
      <c r="AM14" s="99">
        <f t="shared" si="29"/>
        <v>102.575</v>
      </c>
      <c r="AN14" s="99">
        <f t="shared" si="29"/>
        <v>102.575</v>
      </c>
      <c r="AO14" s="99">
        <f t="shared" si="29"/>
        <v>102.575</v>
      </c>
      <c r="AP14" s="99">
        <f>Пост!E31</f>
        <v>1230.9</v>
      </c>
      <c r="AQ14" s="99">
        <f t="shared" si="30"/>
        <v>102.575</v>
      </c>
      <c r="AR14" s="99">
        <f t="shared" si="30"/>
        <v>102.575</v>
      </c>
      <c r="AS14" s="99">
        <f t="shared" si="30"/>
        <v>102.575</v>
      </c>
      <c r="AT14" s="99">
        <f t="shared" si="30"/>
        <v>102.575</v>
      </c>
      <c r="AU14" s="99">
        <f t="shared" si="30"/>
        <v>102.575</v>
      </c>
      <c r="AV14" s="99">
        <f t="shared" si="30"/>
        <v>102.575</v>
      </c>
      <c r="AW14" s="99">
        <f t="shared" si="30"/>
        <v>102.575</v>
      </c>
      <c r="AX14" s="99">
        <f t="shared" si="30"/>
        <v>102.575</v>
      </c>
      <c r="AY14" s="99">
        <f t="shared" si="30"/>
        <v>102.575</v>
      </c>
      <c r="AZ14" s="99">
        <f t="shared" si="30"/>
        <v>102.575</v>
      </c>
      <c r="BA14" s="99">
        <f t="shared" si="30"/>
        <v>102.575</v>
      </c>
      <c r="BB14" s="99">
        <f t="shared" si="30"/>
        <v>102.575</v>
      </c>
      <c r="BC14" s="99">
        <f>Пост!F31</f>
        <v>1230.9</v>
      </c>
      <c r="BD14" s="99">
        <f t="shared" si="31"/>
        <v>102.575</v>
      </c>
      <c r="BE14" s="99">
        <f t="shared" si="31"/>
        <v>102.575</v>
      </c>
      <c r="BF14" s="99">
        <f t="shared" si="31"/>
        <v>102.575</v>
      </c>
      <c r="BG14" s="99">
        <f t="shared" si="31"/>
        <v>102.575</v>
      </c>
      <c r="BH14" s="99">
        <f t="shared" si="31"/>
        <v>102.575</v>
      </c>
      <c r="BI14" s="99">
        <f t="shared" si="31"/>
        <v>102.575</v>
      </c>
      <c r="BJ14" s="99">
        <f t="shared" si="31"/>
        <v>102.575</v>
      </c>
      <c r="BK14" s="99">
        <f t="shared" si="31"/>
        <v>102.575</v>
      </c>
      <c r="BL14" s="99">
        <f t="shared" si="31"/>
        <v>102.575</v>
      </c>
      <c r="BM14" s="99">
        <f t="shared" si="31"/>
        <v>102.575</v>
      </c>
      <c r="BN14" s="99">
        <f t="shared" si="31"/>
        <v>102.575</v>
      </c>
      <c r="BO14" s="99">
        <f t="shared" si="31"/>
        <v>102.575</v>
      </c>
      <c r="BP14" s="99">
        <f>Пост!G31</f>
        <v>1230.9</v>
      </c>
      <c r="BQ14" s="99">
        <f t="shared" si="32"/>
        <v>102.575</v>
      </c>
      <c r="BR14" s="99">
        <f t="shared" si="32"/>
        <v>102.575</v>
      </c>
      <c r="BS14" s="99">
        <f t="shared" si="32"/>
        <v>102.575</v>
      </c>
      <c r="BT14" s="99">
        <f t="shared" si="32"/>
        <v>102.575</v>
      </c>
      <c r="BU14" s="99">
        <f t="shared" si="32"/>
        <v>102.575</v>
      </c>
      <c r="BV14" s="99">
        <f t="shared" si="32"/>
        <v>102.575</v>
      </c>
      <c r="BW14" s="99">
        <f t="shared" si="32"/>
        <v>102.575</v>
      </c>
      <c r="BX14" s="99">
        <f t="shared" si="32"/>
        <v>102.575</v>
      </c>
      <c r="BY14" s="99">
        <f t="shared" si="32"/>
        <v>102.575</v>
      </c>
      <c r="BZ14" s="99">
        <f t="shared" si="32"/>
        <v>102.575</v>
      </c>
      <c r="CA14" s="99">
        <f t="shared" si="32"/>
        <v>102.575</v>
      </c>
      <c r="CB14" s="99">
        <f t="shared" si="32"/>
        <v>102.575</v>
      </c>
      <c r="CC14" s="99">
        <f>Пост!H31</f>
        <v>1230.9</v>
      </c>
      <c r="CD14" s="99">
        <f t="shared" si="33"/>
        <v>102.575</v>
      </c>
      <c r="CE14" s="99">
        <f t="shared" si="33"/>
        <v>102.575</v>
      </c>
      <c r="CF14" s="99">
        <f t="shared" si="33"/>
        <v>102.575</v>
      </c>
      <c r="CG14" s="99">
        <f t="shared" si="33"/>
        <v>102.575</v>
      </c>
      <c r="CH14" s="99">
        <f t="shared" si="33"/>
        <v>102.575</v>
      </c>
      <c r="CI14" s="99">
        <f t="shared" si="33"/>
        <v>102.575</v>
      </c>
      <c r="CJ14" s="99">
        <f t="shared" si="33"/>
        <v>102.575</v>
      </c>
      <c r="CK14" s="99">
        <f t="shared" si="33"/>
        <v>102.575</v>
      </c>
      <c r="CL14" s="99">
        <f t="shared" si="33"/>
        <v>102.575</v>
      </c>
      <c r="CM14" s="99">
        <f t="shared" si="33"/>
        <v>102.575</v>
      </c>
      <c r="CN14" s="99">
        <f t="shared" si="33"/>
        <v>102.575</v>
      </c>
      <c r="CO14" s="99">
        <f t="shared" si="33"/>
        <v>102.575</v>
      </c>
      <c r="CP14" s="99">
        <f>Пост!I31</f>
        <v>1230.9</v>
      </c>
    </row>
    <row r="15" spans="1:94" ht="15" customHeight="1">
      <c r="A15" s="101" t="s">
        <v>27</v>
      </c>
      <c r="B15" s="95">
        <f t="shared" si="11"/>
        <v>4700.264249999992</v>
      </c>
      <c r="C15" s="96"/>
      <c r="D15" s="99">
        <f>кр!C9</f>
        <v>0</v>
      </c>
      <c r="E15" s="99">
        <f>кр!D9</f>
        <v>0</v>
      </c>
      <c r="F15" s="99">
        <f>кр!E9</f>
        <v>0</v>
      </c>
      <c r="G15" s="99">
        <f>кр!F9</f>
        <v>44.275</v>
      </c>
      <c r="H15" s="99">
        <f>кр!G9</f>
        <v>123.08999999999999</v>
      </c>
      <c r="I15" s="99">
        <f>кр!H9</f>
        <v>123.08999999999999</v>
      </c>
      <c r="J15" s="99">
        <f>кр!I9</f>
        <v>125.99455</v>
      </c>
      <c r="K15" s="99">
        <f>кр!J9</f>
        <v>124.1685420289855</v>
      </c>
      <c r="L15" s="99">
        <f>кр!K9</f>
        <v>122.34253405797101</v>
      </c>
      <c r="M15" s="99">
        <f>кр!L9</f>
        <v>120.5165260869565</v>
      </c>
      <c r="N15" s="99">
        <f>кр!M9</f>
        <v>118.690518115942</v>
      </c>
      <c r="O15" s="99">
        <f>кр!N9</f>
        <v>116.86451014492752</v>
      </c>
      <c r="P15" s="96">
        <f t="shared" si="27"/>
        <v>1019.0321804347826</v>
      </c>
      <c r="Q15" s="99">
        <f>кр!P9</f>
        <v>115.03850217391302</v>
      </c>
      <c r="R15" s="99">
        <f>кр!Q9</f>
        <v>113.21249420289853</v>
      </c>
      <c r="S15" s="99">
        <f>кр!R9</f>
        <v>111.38648623188402</v>
      </c>
      <c r="T15" s="99">
        <f>кр!S9</f>
        <v>109.56047826086952</v>
      </c>
      <c r="U15" s="99">
        <f>кр!T9</f>
        <v>107.73447028985504</v>
      </c>
      <c r="V15" s="99">
        <f>кр!U9</f>
        <v>105.90846231884053</v>
      </c>
      <c r="W15" s="99">
        <f>кр!V9</f>
        <v>104.08245434782604</v>
      </c>
      <c r="X15" s="99">
        <f>кр!W9</f>
        <v>102.25644637681154</v>
      </c>
      <c r="Y15" s="99">
        <f>кр!X9</f>
        <v>100.43043840579703</v>
      </c>
      <c r="Z15" s="99">
        <f>кр!Y9</f>
        <v>98.60443043478256</v>
      </c>
      <c r="AA15" s="99">
        <f>кр!Z9</f>
        <v>96.77842246376805</v>
      </c>
      <c r="AB15" s="99">
        <f>кр!AA9</f>
        <v>94.95241449275356</v>
      </c>
      <c r="AC15" s="96">
        <f t="shared" si="28"/>
        <v>1259.9454999999994</v>
      </c>
      <c r="AD15" s="99">
        <f>кр!AC9</f>
        <v>93.12640652173906</v>
      </c>
      <c r="AE15" s="99">
        <f>кр!AD9</f>
        <v>91.30039855072455</v>
      </c>
      <c r="AF15" s="99">
        <f>кр!AE9</f>
        <v>89.47439057971008</v>
      </c>
      <c r="AG15" s="99">
        <f>кр!AF9</f>
        <v>87.64838260869557</v>
      </c>
      <c r="AH15" s="99">
        <f>кр!AG9</f>
        <v>85.82237463768108</v>
      </c>
      <c r="AI15" s="99">
        <f>кр!AH9</f>
        <v>83.99636666666657</v>
      </c>
      <c r="AJ15" s="99">
        <f>кр!AI9</f>
        <v>82.17035869565208</v>
      </c>
      <c r="AK15" s="99">
        <f>кр!AJ9</f>
        <v>80.34435072463758</v>
      </c>
      <c r="AL15" s="99">
        <f>кр!AK9</f>
        <v>78.51834275362309</v>
      </c>
      <c r="AM15" s="99">
        <f>кр!AL9</f>
        <v>76.6923347826086</v>
      </c>
      <c r="AN15" s="99">
        <f>кр!AM9</f>
        <v>74.86632681159409</v>
      </c>
      <c r="AO15" s="99">
        <f>кр!AN9</f>
        <v>73.0403188405796</v>
      </c>
      <c r="AP15" s="99">
        <f>кр!AO9</f>
        <v>997.000352173912</v>
      </c>
      <c r="AQ15" s="99">
        <f>кр!AP9</f>
        <v>71.2143108695651</v>
      </c>
      <c r="AR15" s="99">
        <f>кр!AQ9</f>
        <v>69.3883028985506</v>
      </c>
      <c r="AS15" s="99">
        <f>кр!AR9</f>
        <v>67.56229492753612</v>
      </c>
      <c r="AT15" s="99">
        <f>кр!AS9</f>
        <v>65.73628695652161</v>
      </c>
      <c r="AU15" s="99">
        <f>кр!AT9</f>
        <v>63.91027898550712</v>
      </c>
      <c r="AV15" s="99">
        <f>кр!AU9</f>
        <v>62.08427101449262</v>
      </c>
      <c r="AW15" s="99">
        <f>кр!AV9</f>
        <v>60.25826304347813</v>
      </c>
      <c r="AX15" s="99">
        <f>кр!AW9</f>
        <v>58.432255072463626</v>
      </c>
      <c r="AY15" s="99">
        <f>кр!AX9</f>
        <v>56.60624710144913</v>
      </c>
      <c r="AZ15" s="99">
        <f>кр!AY9</f>
        <v>54.78023913043464</v>
      </c>
      <c r="BA15" s="99">
        <f>кр!AZ9</f>
        <v>52.95423115942014</v>
      </c>
      <c r="BB15" s="99">
        <f>кр!BA9</f>
        <v>51.12822318840565</v>
      </c>
      <c r="BC15" s="99">
        <f>кр!BB9</f>
        <v>734.0552043478245</v>
      </c>
      <c r="BD15" s="99">
        <f>кр!BC9</f>
        <v>49.302215217391144</v>
      </c>
      <c r="BE15" s="99">
        <f>кр!BD9</f>
        <v>47.47620724637665</v>
      </c>
      <c r="BF15" s="99">
        <f>кр!BE9</f>
        <v>45.650199275362155</v>
      </c>
      <c r="BG15" s="99">
        <f>кр!BF9</f>
        <v>43.82419130434766</v>
      </c>
      <c r="BH15" s="99">
        <f>кр!BG9</f>
        <v>41.998183333333166</v>
      </c>
      <c r="BI15" s="99">
        <f>кр!BH9</f>
        <v>40.17217536231867</v>
      </c>
      <c r="BJ15" s="99">
        <f>кр!BI9</f>
        <v>38.34616739130418</v>
      </c>
      <c r="BK15" s="99">
        <f>кр!BJ9</f>
        <v>36.52015942028969</v>
      </c>
      <c r="BL15" s="99">
        <f>кр!BK9</f>
        <v>34.694151449275196</v>
      </c>
      <c r="BM15" s="99">
        <f>кр!BL9</f>
        <v>32.8681434782607</v>
      </c>
      <c r="BN15" s="99">
        <f>кр!BM9</f>
        <v>31.04213550724621</v>
      </c>
      <c r="BO15" s="99">
        <f>кр!BN9</f>
        <v>29.21612753623172</v>
      </c>
      <c r="BP15" s="99">
        <f>кр!BO9</f>
        <v>471.11005652173714</v>
      </c>
      <c r="BQ15" s="99">
        <f>кр!BP9</f>
        <v>27.39011956521723</v>
      </c>
      <c r="BR15" s="99">
        <f>кр!BQ9</f>
        <v>25.564111594202732</v>
      </c>
      <c r="BS15" s="99">
        <f>кр!BR9</f>
        <v>23.73810362318824</v>
      </c>
      <c r="BT15" s="99">
        <f>кр!BS9</f>
        <v>21.91209565217375</v>
      </c>
      <c r="BU15" s="99">
        <f>кр!BT9</f>
        <v>20.08608768115926</v>
      </c>
      <c r="BV15" s="99">
        <f>кр!BU9</f>
        <v>18.26007971014477</v>
      </c>
      <c r="BW15" s="99">
        <f>кр!BV9</f>
        <v>16.434071739130278</v>
      </c>
      <c r="BX15" s="99">
        <f>кр!BW9</f>
        <v>14.608063768115784</v>
      </c>
      <c r="BY15" s="99">
        <f>кр!BX9</f>
        <v>12.782055797101293</v>
      </c>
      <c r="BZ15" s="99">
        <f>кр!BY9</f>
        <v>10.9560478260868</v>
      </c>
      <c r="CA15" s="99">
        <f>кр!BZ9</f>
        <v>9.130039855072308</v>
      </c>
      <c r="CB15" s="99">
        <f>кр!CA9</f>
        <v>7.304031884057815</v>
      </c>
      <c r="CC15" s="99">
        <f>кр!CB9</f>
        <v>208.16490869565027</v>
      </c>
      <c r="CD15" s="99">
        <f>кр!CC9</f>
        <v>5.478023913043322</v>
      </c>
      <c r="CE15" s="99">
        <f>кр!CD9</f>
        <v>3.6520159420288287</v>
      </c>
      <c r="CF15" s="99">
        <f>кр!CE9</f>
        <v>1.8260079710143362</v>
      </c>
      <c r="CG15" s="99">
        <f>кр!CF9</f>
        <v>-1.5631940186722204E-13</v>
      </c>
      <c r="CH15" s="99">
        <f>кр!CG9</f>
        <v>-1.5631940186722204E-13</v>
      </c>
      <c r="CI15" s="99">
        <f>кр!CH9</f>
        <v>-1.5631940186722204E-13</v>
      </c>
      <c r="CJ15" s="99">
        <f>кр!CI9</f>
        <v>-1.5631940186722204E-13</v>
      </c>
      <c r="CK15" s="99">
        <f>кр!CJ9</f>
        <v>-1.5631940186722204E-13</v>
      </c>
      <c r="CL15" s="99">
        <f>кр!CK9</f>
        <v>-1.5631940186722204E-13</v>
      </c>
      <c r="CM15" s="99">
        <f>кр!CL9</f>
        <v>-1.5631940186722204E-13</v>
      </c>
      <c r="CN15" s="99">
        <f>кр!CM9</f>
        <v>-1.5631940186722204E-13</v>
      </c>
      <c r="CO15" s="99">
        <f>кр!CN9</f>
        <v>-1.5631940186722204E-13</v>
      </c>
      <c r="CP15" s="99">
        <f>кр!CO9</f>
        <v>10.956047826085081</v>
      </c>
    </row>
    <row r="16" spans="1:94" ht="15" customHeight="1">
      <c r="A16" s="101" t="s">
        <v>233</v>
      </c>
      <c r="B16" s="95">
        <f t="shared" si="11"/>
        <v>41298.122850000036</v>
      </c>
      <c r="C16" s="100"/>
      <c r="D16" s="99">
        <f>D12-D13-D15-D14</f>
        <v>0</v>
      </c>
      <c r="E16" s="99">
        <f aca="true" t="shared" si="34" ref="E16:O16">E12-E13-E15-E14</f>
        <v>0</v>
      </c>
      <c r="F16" s="99">
        <f t="shared" si="34"/>
        <v>0</v>
      </c>
      <c r="G16" s="99">
        <f t="shared" si="34"/>
        <v>-943.6497</v>
      </c>
      <c r="H16" s="99">
        <f t="shared" si="34"/>
        <v>-348.54470000000015</v>
      </c>
      <c r="I16" s="99">
        <f t="shared" si="34"/>
        <v>-236.22469999999998</v>
      </c>
      <c r="J16" s="99">
        <f t="shared" si="34"/>
        <v>-239.12925</v>
      </c>
      <c r="K16" s="99">
        <f t="shared" si="34"/>
        <v>-124.98324202898536</v>
      </c>
      <c r="L16" s="99">
        <f t="shared" si="34"/>
        <v>-123.15723405797087</v>
      </c>
      <c r="M16" s="99">
        <f t="shared" si="34"/>
        <v>-9.011226086956427</v>
      </c>
      <c r="N16" s="99">
        <f t="shared" si="34"/>
        <v>-7.185218115941922</v>
      </c>
      <c r="O16" s="99">
        <f t="shared" si="34"/>
        <v>-5.359210144927445</v>
      </c>
      <c r="P16" s="96">
        <f t="shared" si="27"/>
        <v>-2037.2444804347822</v>
      </c>
      <c r="Q16" s="99">
        <f aca="true" t="shared" si="35" ref="Q16:AB16">Q12-Q13-Q15-Q14</f>
        <v>78.88384782608732</v>
      </c>
      <c r="R16" s="99">
        <f t="shared" si="35"/>
        <v>80.70985579710178</v>
      </c>
      <c r="S16" s="99">
        <f t="shared" si="35"/>
        <v>82.5358637681163</v>
      </c>
      <c r="T16" s="99">
        <f t="shared" si="35"/>
        <v>196.68187173913054</v>
      </c>
      <c r="U16" s="99">
        <f t="shared" si="35"/>
        <v>198.507879710145</v>
      </c>
      <c r="V16" s="99">
        <f t="shared" si="35"/>
        <v>200.33388768115952</v>
      </c>
      <c r="W16" s="99">
        <f t="shared" si="35"/>
        <v>314.4798956521737</v>
      </c>
      <c r="X16" s="99">
        <f t="shared" si="35"/>
        <v>316.3059036231882</v>
      </c>
      <c r="Y16" s="99">
        <f t="shared" si="35"/>
        <v>318.13191159420273</v>
      </c>
      <c r="Z16" s="99">
        <f t="shared" si="35"/>
        <v>432.27791956521736</v>
      </c>
      <c r="AA16" s="99">
        <f t="shared" si="35"/>
        <v>434.1039275362319</v>
      </c>
      <c r="AB16" s="99">
        <f t="shared" si="35"/>
        <v>435.9299355072464</v>
      </c>
      <c r="AC16" s="96">
        <f t="shared" si="28"/>
        <v>3088.8827000000006</v>
      </c>
      <c r="AD16" s="99">
        <f aca="true" t="shared" si="36" ref="AD16:AO16">AD12-AD13-AD15-AD14</f>
        <v>427.7882934782611</v>
      </c>
      <c r="AE16" s="99">
        <f t="shared" si="36"/>
        <v>429.6143014492756</v>
      </c>
      <c r="AF16" s="99">
        <f t="shared" si="36"/>
        <v>431.44030942029013</v>
      </c>
      <c r="AG16" s="99">
        <f t="shared" si="36"/>
        <v>433.26631739130465</v>
      </c>
      <c r="AH16" s="99">
        <f t="shared" si="36"/>
        <v>435.0923253623192</v>
      </c>
      <c r="AI16" s="99">
        <f t="shared" si="36"/>
        <v>436.9183333333336</v>
      </c>
      <c r="AJ16" s="99">
        <f t="shared" si="36"/>
        <v>438.7443413043481</v>
      </c>
      <c r="AK16" s="99">
        <f t="shared" si="36"/>
        <v>440.5703492753626</v>
      </c>
      <c r="AL16" s="99">
        <f t="shared" si="36"/>
        <v>442.39635724637714</v>
      </c>
      <c r="AM16" s="99">
        <f t="shared" si="36"/>
        <v>444.22236521739165</v>
      </c>
      <c r="AN16" s="99">
        <f t="shared" si="36"/>
        <v>446.04837318840606</v>
      </c>
      <c r="AO16" s="99">
        <f t="shared" si="36"/>
        <v>447.8743811594206</v>
      </c>
      <c r="AP16" s="99">
        <f>AP12-AP13-AP15-AP14</f>
        <v>5253.976047826092</v>
      </c>
      <c r="AQ16" s="99">
        <f aca="true" t="shared" si="37" ref="AQ16:BB16">AQ12-AQ13-AQ15-AQ14</f>
        <v>555.3752891304349</v>
      </c>
      <c r="AR16" s="99">
        <f t="shared" si="37"/>
        <v>557.2012971014494</v>
      </c>
      <c r="AS16" s="99">
        <f t="shared" si="37"/>
        <v>559.027305072464</v>
      </c>
      <c r="AT16" s="99">
        <f t="shared" si="37"/>
        <v>560.8533130434785</v>
      </c>
      <c r="AU16" s="99">
        <f t="shared" si="37"/>
        <v>562.6793210144929</v>
      </c>
      <c r="AV16" s="99">
        <f t="shared" si="37"/>
        <v>564.5053289855074</v>
      </c>
      <c r="AW16" s="99">
        <f t="shared" si="37"/>
        <v>566.3313369565219</v>
      </c>
      <c r="AX16" s="99">
        <f t="shared" si="37"/>
        <v>568.1573449275364</v>
      </c>
      <c r="AY16" s="99">
        <f t="shared" si="37"/>
        <v>569.983352898551</v>
      </c>
      <c r="AZ16" s="99">
        <f t="shared" si="37"/>
        <v>571.8093608695654</v>
      </c>
      <c r="BA16" s="99">
        <f t="shared" si="37"/>
        <v>573.6353688405799</v>
      </c>
      <c r="BB16" s="99">
        <f t="shared" si="37"/>
        <v>575.4613768115944</v>
      </c>
      <c r="BC16" s="99">
        <f>BC12-BC13-BC15-BC14</f>
        <v>6785.019995652177</v>
      </c>
      <c r="BD16" s="99">
        <f aca="true" t="shared" si="38" ref="BD16:BO16">BD12-BD13-BD15-BD14</f>
        <v>682.962284782609</v>
      </c>
      <c r="BE16" s="99">
        <f t="shared" si="38"/>
        <v>684.7882927536234</v>
      </c>
      <c r="BF16" s="99">
        <f t="shared" si="38"/>
        <v>686.6143007246379</v>
      </c>
      <c r="BG16" s="99">
        <f t="shared" si="38"/>
        <v>688.4403086956524</v>
      </c>
      <c r="BH16" s="99">
        <f t="shared" si="38"/>
        <v>690.266316666667</v>
      </c>
      <c r="BI16" s="99">
        <f t="shared" si="38"/>
        <v>692.0923246376815</v>
      </c>
      <c r="BJ16" s="99">
        <f t="shared" si="38"/>
        <v>693.9183326086959</v>
      </c>
      <c r="BK16" s="99">
        <f t="shared" si="38"/>
        <v>695.7443405797104</v>
      </c>
      <c r="BL16" s="99">
        <f t="shared" si="38"/>
        <v>697.5703485507249</v>
      </c>
      <c r="BM16" s="99">
        <f t="shared" si="38"/>
        <v>699.3963565217394</v>
      </c>
      <c r="BN16" s="99">
        <f t="shared" si="38"/>
        <v>701.2223644927539</v>
      </c>
      <c r="BO16" s="99">
        <f t="shared" si="38"/>
        <v>703.0483724637684</v>
      </c>
      <c r="BP16" s="99">
        <f>BP12-BP13-BP15-BP14</f>
        <v>8316.063943478262</v>
      </c>
      <c r="BQ16" s="99">
        <f aca="true" t="shared" si="39" ref="BQ16:CB16">BQ12-BQ13-BQ15-BQ14</f>
        <v>810.5492804347836</v>
      </c>
      <c r="BR16" s="99">
        <f t="shared" si="39"/>
        <v>812.3752884057981</v>
      </c>
      <c r="BS16" s="99">
        <f t="shared" si="39"/>
        <v>814.2012963768125</v>
      </c>
      <c r="BT16" s="99">
        <f t="shared" si="39"/>
        <v>816.027304347827</v>
      </c>
      <c r="BU16" s="99">
        <f t="shared" si="39"/>
        <v>817.8533123188415</v>
      </c>
      <c r="BV16" s="99">
        <f t="shared" si="39"/>
        <v>819.679320289856</v>
      </c>
      <c r="BW16" s="99">
        <f t="shared" si="39"/>
        <v>821.5053282608704</v>
      </c>
      <c r="BX16" s="99">
        <f t="shared" si="39"/>
        <v>823.331336231885</v>
      </c>
      <c r="BY16" s="99">
        <f t="shared" si="39"/>
        <v>825.1573442028995</v>
      </c>
      <c r="BZ16" s="99">
        <f t="shared" si="39"/>
        <v>826.983352173914</v>
      </c>
      <c r="CA16" s="99">
        <f t="shared" si="39"/>
        <v>828.8093601449285</v>
      </c>
      <c r="CB16" s="99">
        <f t="shared" si="39"/>
        <v>830.6353681159429</v>
      </c>
      <c r="CC16" s="99">
        <f>CC12-CC13-CC15-CC14</f>
        <v>9847.10789130436</v>
      </c>
      <c r="CD16" s="99">
        <f aca="true" t="shared" si="40" ref="CD16:CO16">CD12-CD13-CD15-CD14</f>
        <v>832.4613760869574</v>
      </c>
      <c r="CE16" s="99">
        <f t="shared" si="40"/>
        <v>834.287384057972</v>
      </c>
      <c r="CF16" s="99">
        <f t="shared" si="40"/>
        <v>836.1133920289865</v>
      </c>
      <c r="CG16" s="99">
        <f t="shared" si="40"/>
        <v>837.9394000000009</v>
      </c>
      <c r="CH16" s="99">
        <f t="shared" si="40"/>
        <v>837.9394000000009</v>
      </c>
      <c r="CI16" s="99">
        <f t="shared" si="40"/>
        <v>837.9394000000009</v>
      </c>
      <c r="CJ16" s="99">
        <f t="shared" si="40"/>
        <v>837.9394000000009</v>
      </c>
      <c r="CK16" s="99">
        <f t="shared" si="40"/>
        <v>837.9394000000009</v>
      </c>
      <c r="CL16" s="99">
        <f t="shared" si="40"/>
        <v>837.9394000000009</v>
      </c>
      <c r="CM16" s="99">
        <f t="shared" si="40"/>
        <v>837.9394000000009</v>
      </c>
      <c r="CN16" s="99">
        <f t="shared" si="40"/>
        <v>837.9394000000009</v>
      </c>
      <c r="CO16" s="99">
        <f t="shared" si="40"/>
        <v>837.9394000000009</v>
      </c>
      <c r="CP16" s="99">
        <f>CP12-CP13-CP15-CP14</f>
        <v>10044.316752173925</v>
      </c>
    </row>
    <row r="17" spans="1:94" ht="15" customHeight="1">
      <c r="A17" s="101" t="s">
        <v>280</v>
      </c>
      <c r="B17" s="95">
        <f t="shared" si="11"/>
        <v>8177.9544000000005</v>
      </c>
      <c r="C17" s="96"/>
      <c r="D17" s="99">
        <f>D5*Исх!$C$19</f>
        <v>0</v>
      </c>
      <c r="E17" s="99">
        <f>E5*Исх!$C$19</f>
        <v>0</v>
      </c>
      <c r="F17" s="99">
        <f>F5*Исх!$C$19</f>
        <v>0</v>
      </c>
      <c r="G17" s="99">
        <f>G5*Исх!$C$19</f>
        <v>0</v>
      </c>
      <c r="H17" s="99">
        <f>H5*Исх!$C$19</f>
        <v>45.057599999999994</v>
      </c>
      <c r="I17" s="99">
        <f>I5*Исх!$C$19</f>
        <v>52.5672</v>
      </c>
      <c r="J17" s="99">
        <f>J5*Исх!$C$19</f>
        <v>52.5672</v>
      </c>
      <c r="K17" s="99">
        <f>K5*Исх!$C$19</f>
        <v>60.076800000000006</v>
      </c>
      <c r="L17" s="99">
        <f>L5*Исх!$C$19</f>
        <v>60.076800000000006</v>
      </c>
      <c r="M17" s="99">
        <f>M5*Исх!$C$19</f>
        <v>67.5864</v>
      </c>
      <c r="N17" s="99">
        <f>N5*Исх!$C$19</f>
        <v>67.5864</v>
      </c>
      <c r="O17" s="99">
        <f>O5*Исх!$C$19</f>
        <v>67.5864</v>
      </c>
      <c r="P17" s="96">
        <f t="shared" si="27"/>
        <v>473.10480000000007</v>
      </c>
      <c r="Q17" s="99">
        <f>Q5*Исх!$C$19</f>
        <v>75.096</v>
      </c>
      <c r="R17" s="99">
        <f>R5*Исх!$C$19</f>
        <v>75.096</v>
      </c>
      <c r="S17" s="99">
        <f>S5*Исх!$C$19</f>
        <v>75.096</v>
      </c>
      <c r="T17" s="99">
        <f>T5*Исх!$C$19</f>
        <v>82.6056</v>
      </c>
      <c r="U17" s="99">
        <f>U5*Исх!$C$19</f>
        <v>82.6056</v>
      </c>
      <c r="V17" s="99">
        <f>V5*Исх!$C$19</f>
        <v>82.6056</v>
      </c>
      <c r="W17" s="99">
        <f>W5*Исх!$C$19</f>
        <v>90.11519999999999</v>
      </c>
      <c r="X17" s="99">
        <f>X5*Исх!$C$19</f>
        <v>90.11519999999999</v>
      </c>
      <c r="Y17" s="99">
        <f>Y5*Исх!$C$19</f>
        <v>90.11519999999999</v>
      </c>
      <c r="Z17" s="99">
        <f>Z5*Исх!$C$19</f>
        <v>97.6248</v>
      </c>
      <c r="AA17" s="99">
        <f>AA5*Исх!$C$19</f>
        <v>97.6248</v>
      </c>
      <c r="AB17" s="99">
        <f>AB5*Исх!$C$19</f>
        <v>97.6248</v>
      </c>
      <c r="AC17" s="96">
        <f t="shared" si="28"/>
        <v>1036.3247999999999</v>
      </c>
      <c r="AD17" s="99">
        <f>AD5*Исх!$C$19</f>
        <v>97.62480000000001</v>
      </c>
      <c r="AE17" s="99">
        <f>AE5*Исх!$C$19</f>
        <v>97.62480000000001</v>
      </c>
      <c r="AF17" s="99">
        <f>AF5*Исх!$C$19</f>
        <v>97.62480000000001</v>
      </c>
      <c r="AG17" s="99">
        <f>AG5*Исх!$C$19</f>
        <v>97.62480000000001</v>
      </c>
      <c r="AH17" s="99">
        <f>AH5*Исх!$C$19</f>
        <v>97.62480000000001</v>
      </c>
      <c r="AI17" s="99">
        <f>AI5*Исх!$C$19</f>
        <v>97.62480000000001</v>
      </c>
      <c r="AJ17" s="99">
        <f>AJ5*Исх!$C$19</f>
        <v>97.62480000000001</v>
      </c>
      <c r="AK17" s="99">
        <f>AK5*Исх!$C$19</f>
        <v>97.62480000000001</v>
      </c>
      <c r="AL17" s="99">
        <f>AL5*Исх!$C$19</f>
        <v>97.62480000000001</v>
      </c>
      <c r="AM17" s="99">
        <f>AM5*Исх!$C$19</f>
        <v>97.62480000000001</v>
      </c>
      <c r="AN17" s="99">
        <f>AN5*Исх!$C$19</f>
        <v>97.62480000000001</v>
      </c>
      <c r="AO17" s="99">
        <f>AO5*Исх!$C$19</f>
        <v>97.62480000000001</v>
      </c>
      <c r="AP17" s="99">
        <f>AP5*Исх!$C$19</f>
        <v>1171.4976000000001</v>
      </c>
      <c r="AQ17" s="99">
        <f>AQ5*Исх!$C$19</f>
        <v>105.1344</v>
      </c>
      <c r="AR17" s="99">
        <f>AR5*Исх!$C$19</f>
        <v>105.1344</v>
      </c>
      <c r="AS17" s="99">
        <f>AS5*Исх!$C$19</f>
        <v>105.1344</v>
      </c>
      <c r="AT17" s="99">
        <f>AT5*Исх!$C$19</f>
        <v>105.1344</v>
      </c>
      <c r="AU17" s="99">
        <f>AU5*Исх!$C$19</f>
        <v>105.1344</v>
      </c>
      <c r="AV17" s="99">
        <f>AV5*Исх!$C$19</f>
        <v>105.1344</v>
      </c>
      <c r="AW17" s="99">
        <f>AW5*Исх!$C$19</f>
        <v>105.1344</v>
      </c>
      <c r="AX17" s="99">
        <f>AX5*Исх!$C$19</f>
        <v>105.1344</v>
      </c>
      <c r="AY17" s="99">
        <f>AY5*Исх!$C$19</f>
        <v>105.1344</v>
      </c>
      <c r="AZ17" s="99">
        <f>AZ5*Исх!$C$19</f>
        <v>105.1344</v>
      </c>
      <c r="BA17" s="99">
        <f>BA5*Исх!$C$19</f>
        <v>105.1344</v>
      </c>
      <c r="BB17" s="99">
        <f>BB5*Исх!$C$19</f>
        <v>105.1344</v>
      </c>
      <c r="BC17" s="99">
        <f>BC5*Исх!$C$19</f>
        <v>1261.6128</v>
      </c>
      <c r="BD17" s="99">
        <f>BD5*Исх!$C$19</f>
        <v>112.644</v>
      </c>
      <c r="BE17" s="99">
        <f>BE5*Исх!$C$19</f>
        <v>112.644</v>
      </c>
      <c r="BF17" s="99">
        <f>BF5*Исх!$C$19</f>
        <v>112.644</v>
      </c>
      <c r="BG17" s="99">
        <f>BG5*Исх!$C$19</f>
        <v>112.644</v>
      </c>
      <c r="BH17" s="99">
        <f>BH5*Исх!$C$19</f>
        <v>112.644</v>
      </c>
      <c r="BI17" s="99">
        <f>BI5*Исх!$C$19</f>
        <v>112.644</v>
      </c>
      <c r="BJ17" s="99">
        <f>BJ5*Исх!$C$19</f>
        <v>112.644</v>
      </c>
      <c r="BK17" s="99">
        <f>BK5*Исх!$C$19</f>
        <v>112.644</v>
      </c>
      <c r="BL17" s="99">
        <f>BL5*Исх!$C$19</f>
        <v>112.644</v>
      </c>
      <c r="BM17" s="99">
        <f>BM5*Исх!$C$19</f>
        <v>112.644</v>
      </c>
      <c r="BN17" s="99">
        <f>BN5*Исх!$C$19</f>
        <v>112.644</v>
      </c>
      <c r="BO17" s="99">
        <f>BO5*Исх!$C$19</f>
        <v>112.644</v>
      </c>
      <c r="BP17" s="99">
        <f>BP5*Исх!$C$19</f>
        <v>1351.7279999999998</v>
      </c>
      <c r="BQ17" s="99">
        <f>BQ5*Исх!$C$19</f>
        <v>120.15360000000003</v>
      </c>
      <c r="BR17" s="99">
        <f>BR5*Исх!$C$19</f>
        <v>120.15360000000003</v>
      </c>
      <c r="BS17" s="99">
        <f>BS5*Исх!$C$19</f>
        <v>120.15360000000003</v>
      </c>
      <c r="BT17" s="99">
        <f>BT5*Исх!$C$19</f>
        <v>120.15360000000003</v>
      </c>
      <c r="BU17" s="99">
        <f>BU5*Исх!$C$19</f>
        <v>120.15360000000003</v>
      </c>
      <c r="BV17" s="99">
        <f>BV5*Исх!$C$19</f>
        <v>120.15360000000003</v>
      </c>
      <c r="BW17" s="99">
        <f>BW5*Исх!$C$19</f>
        <v>120.15360000000003</v>
      </c>
      <c r="BX17" s="99">
        <f>BX5*Исх!$C$19</f>
        <v>120.15360000000003</v>
      </c>
      <c r="BY17" s="99">
        <f>BY5*Исх!$C$19</f>
        <v>120.15360000000003</v>
      </c>
      <c r="BZ17" s="99">
        <f>BZ5*Исх!$C$19</f>
        <v>120.15360000000003</v>
      </c>
      <c r="CA17" s="99">
        <f>CA5*Исх!$C$19</f>
        <v>120.15360000000003</v>
      </c>
      <c r="CB17" s="99">
        <f>CB5*Исх!$C$19</f>
        <v>120.15360000000003</v>
      </c>
      <c r="CC17" s="99">
        <f>CC5*Исх!$C$19</f>
        <v>1441.8432000000003</v>
      </c>
      <c r="CD17" s="99">
        <f>CD5*Исх!$C$19</f>
        <v>120.15360000000003</v>
      </c>
      <c r="CE17" s="99">
        <f>CE5*Исх!$C$19</f>
        <v>120.15360000000003</v>
      </c>
      <c r="CF17" s="99">
        <f>CF5*Исх!$C$19</f>
        <v>120.15360000000003</v>
      </c>
      <c r="CG17" s="99">
        <f>CG5*Исх!$C$19</f>
        <v>120.15360000000003</v>
      </c>
      <c r="CH17" s="99">
        <f>CH5*Исх!$C$19</f>
        <v>120.15360000000003</v>
      </c>
      <c r="CI17" s="99">
        <f>CI5*Исх!$C$19</f>
        <v>120.15360000000003</v>
      </c>
      <c r="CJ17" s="99">
        <f>CJ5*Исх!$C$19</f>
        <v>120.15360000000003</v>
      </c>
      <c r="CK17" s="99">
        <f>CK5*Исх!$C$19</f>
        <v>120.15360000000003</v>
      </c>
      <c r="CL17" s="99">
        <f>CL5*Исх!$C$19</f>
        <v>120.15360000000003</v>
      </c>
      <c r="CM17" s="99">
        <f>CM5*Исх!$C$19</f>
        <v>120.15360000000003</v>
      </c>
      <c r="CN17" s="99">
        <f>CN5*Исх!$C$19</f>
        <v>120.15360000000003</v>
      </c>
      <c r="CO17" s="99">
        <f>CO5*Исх!$C$19</f>
        <v>120.15360000000003</v>
      </c>
      <c r="CP17" s="99">
        <f>CP5*Исх!$C$19</f>
        <v>1441.8432000000003</v>
      </c>
    </row>
    <row r="18" spans="1:94" ht="15" customHeight="1">
      <c r="A18" s="101" t="s">
        <v>4</v>
      </c>
      <c r="B18" s="95">
        <f t="shared" si="11"/>
        <v>33120.168450000034</v>
      </c>
      <c r="C18" s="100"/>
      <c r="D18" s="99">
        <f aca="true" t="shared" si="41" ref="D18:Q18">D16-D17</f>
        <v>0</v>
      </c>
      <c r="E18" s="99">
        <f>E16-E17</f>
        <v>0</v>
      </c>
      <c r="F18" s="99">
        <f t="shared" si="41"/>
        <v>0</v>
      </c>
      <c r="G18" s="99">
        <f t="shared" si="41"/>
        <v>-943.6497</v>
      </c>
      <c r="H18" s="99">
        <f t="shared" si="41"/>
        <v>-393.6023000000001</v>
      </c>
      <c r="I18" s="99">
        <f t="shared" si="41"/>
        <v>-288.7919</v>
      </c>
      <c r="J18" s="99">
        <f t="shared" si="41"/>
        <v>-291.69645</v>
      </c>
      <c r="K18" s="99">
        <f t="shared" si="41"/>
        <v>-185.06004202898538</v>
      </c>
      <c r="L18" s="99">
        <f t="shared" si="41"/>
        <v>-183.23403405797086</v>
      </c>
      <c r="M18" s="99">
        <f t="shared" si="41"/>
        <v>-76.59762608695642</v>
      </c>
      <c r="N18" s="99">
        <f t="shared" si="41"/>
        <v>-74.77161811594192</v>
      </c>
      <c r="O18" s="99">
        <f t="shared" si="41"/>
        <v>-72.94561014492744</v>
      </c>
      <c r="P18" s="96">
        <f t="shared" si="27"/>
        <v>-2510.349280434782</v>
      </c>
      <c r="Q18" s="99">
        <f t="shared" si="41"/>
        <v>3.787847826087315</v>
      </c>
      <c r="R18" s="99">
        <f aca="true" t="shared" si="42" ref="R18:CB18">R16-R17</f>
        <v>5.6138557971017775</v>
      </c>
      <c r="S18" s="99">
        <f t="shared" si="42"/>
        <v>7.439863768116297</v>
      </c>
      <c r="T18" s="99">
        <f t="shared" si="42"/>
        <v>114.07627173913055</v>
      </c>
      <c r="U18" s="99">
        <f t="shared" si="42"/>
        <v>115.90227971014501</v>
      </c>
      <c r="V18" s="99">
        <f t="shared" si="42"/>
        <v>117.72828768115953</v>
      </c>
      <c r="W18" s="99">
        <f t="shared" si="42"/>
        <v>224.3646956521737</v>
      </c>
      <c r="X18" s="99">
        <f t="shared" si="42"/>
        <v>226.19070362318823</v>
      </c>
      <c r="Y18" s="99">
        <f t="shared" si="42"/>
        <v>228.01671159420275</v>
      </c>
      <c r="Z18" s="99">
        <f t="shared" si="42"/>
        <v>334.65311956521737</v>
      </c>
      <c r="AA18" s="99">
        <f t="shared" si="42"/>
        <v>336.4791275362319</v>
      </c>
      <c r="AB18" s="99">
        <f t="shared" si="42"/>
        <v>338.3051355072464</v>
      </c>
      <c r="AC18" s="96">
        <f t="shared" si="28"/>
        <v>2052.5579000000007</v>
      </c>
      <c r="AD18" s="99">
        <f aca="true" t="shared" si="43" ref="AD18:AO18">AD16-AD17</f>
        <v>330.1634934782611</v>
      </c>
      <c r="AE18" s="99">
        <f t="shared" si="43"/>
        <v>331.9895014492756</v>
      </c>
      <c r="AF18" s="99">
        <f t="shared" si="43"/>
        <v>333.81550942029014</v>
      </c>
      <c r="AG18" s="99">
        <f t="shared" si="43"/>
        <v>335.64151739130466</v>
      </c>
      <c r="AH18" s="99">
        <f t="shared" si="43"/>
        <v>337.4675253623192</v>
      </c>
      <c r="AI18" s="99">
        <f t="shared" si="43"/>
        <v>339.2935333333336</v>
      </c>
      <c r="AJ18" s="99">
        <f t="shared" si="43"/>
        <v>341.1195413043481</v>
      </c>
      <c r="AK18" s="99">
        <f t="shared" si="43"/>
        <v>342.9455492753626</v>
      </c>
      <c r="AL18" s="99">
        <f t="shared" si="43"/>
        <v>344.77155724637714</v>
      </c>
      <c r="AM18" s="99">
        <f t="shared" si="43"/>
        <v>346.59756521739166</v>
      </c>
      <c r="AN18" s="99">
        <f t="shared" si="43"/>
        <v>348.42357318840607</v>
      </c>
      <c r="AO18" s="99">
        <f t="shared" si="43"/>
        <v>350.2495811594206</v>
      </c>
      <c r="AP18" s="99">
        <f t="shared" si="42"/>
        <v>4082.478447826092</v>
      </c>
      <c r="AQ18" s="99">
        <f t="shared" si="42"/>
        <v>450.2408891304349</v>
      </c>
      <c r="AR18" s="99">
        <f t="shared" si="42"/>
        <v>452.0668971014494</v>
      </c>
      <c r="AS18" s="99">
        <f t="shared" si="42"/>
        <v>453.8929050724639</v>
      </c>
      <c r="AT18" s="99">
        <f t="shared" si="42"/>
        <v>455.71891304347844</v>
      </c>
      <c r="AU18" s="99">
        <f t="shared" si="42"/>
        <v>457.54492101449284</v>
      </c>
      <c r="AV18" s="99">
        <f t="shared" si="42"/>
        <v>459.37092898550736</v>
      </c>
      <c r="AW18" s="99">
        <f t="shared" si="42"/>
        <v>461.1969369565219</v>
      </c>
      <c r="AX18" s="99">
        <f t="shared" si="42"/>
        <v>463.0229449275364</v>
      </c>
      <c r="AY18" s="99">
        <f t="shared" si="42"/>
        <v>464.8489528985509</v>
      </c>
      <c r="AZ18" s="99">
        <f t="shared" si="42"/>
        <v>466.6749608695653</v>
      </c>
      <c r="BA18" s="99">
        <f t="shared" si="42"/>
        <v>468.50096884057984</v>
      </c>
      <c r="BB18" s="99">
        <f t="shared" si="42"/>
        <v>470.32697681159436</v>
      </c>
      <c r="BC18" s="99">
        <f t="shared" si="42"/>
        <v>5523.4071956521775</v>
      </c>
      <c r="BD18" s="99">
        <f aca="true" t="shared" si="44" ref="BD18:BO18">BD16-BD17</f>
        <v>570.318284782609</v>
      </c>
      <c r="BE18" s="99">
        <f t="shared" si="44"/>
        <v>572.1442927536234</v>
      </c>
      <c r="BF18" s="99">
        <f t="shared" si="44"/>
        <v>573.9703007246379</v>
      </c>
      <c r="BG18" s="99">
        <f t="shared" si="44"/>
        <v>575.7963086956524</v>
      </c>
      <c r="BH18" s="99">
        <f t="shared" si="44"/>
        <v>577.622316666667</v>
      </c>
      <c r="BI18" s="99">
        <f t="shared" si="44"/>
        <v>579.4483246376815</v>
      </c>
      <c r="BJ18" s="99">
        <f t="shared" si="44"/>
        <v>581.2743326086959</v>
      </c>
      <c r="BK18" s="99">
        <f t="shared" si="44"/>
        <v>583.1003405797104</v>
      </c>
      <c r="BL18" s="99">
        <f t="shared" si="44"/>
        <v>584.9263485507249</v>
      </c>
      <c r="BM18" s="99">
        <f t="shared" si="44"/>
        <v>586.7523565217394</v>
      </c>
      <c r="BN18" s="99">
        <f t="shared" si="44"/>
        <v>588.5783644927538</v>
      </c>
      <c r="BO18" s="99">
        <f t="shared" si="44"/>
        <v>590.4043724637684</v>
      </c>
      <c r="BP18" s="99">
        <f t="shared" si="42"/>
        <v>6964.335943478262</v>
      </c>
      <c r="BQ18" s="99">
        <f t="shared" si="42"/>
        <v>690.3956804347836</v>
      </c>
      <c r="BR18" s="99">
        <f t="shared" si="42"/>
        <v>692.2216884057981</v>
      </c>
      <c r="BS18" s="99">
        <f t="shared" si="42"/>
        <v>694.0476963768125</v>
      </c>
      <c r="BT18" s="99">
        <f t="shared" si="42"/>
        <v>695.873704347827</v>
      </c>
      <c r="BU18" s="99">
        <f t="shared" si="42"/>
        <v>697.6997123188415</v>
      </c>
      <c r="BV18" s="99">
        <f t="shared" si="42"/>
        <v>699.525720289856</v>
      </c>
      <c r="BW18" s="99">
        <f t="shared" si="42"/>
        <v>701.3517282608705</v>
      </c>
      <c r="BX18" s="99">
        <f t="shared" si="42"/>
        <v>703.177736231885</v>
      </c>
      <c r="BY18" s="99">
        <f t="shared" si="42"/>
        <v>705.0037442028995</v>
      </c>
      <c r="BZ18" s="99">
        <f t="shared" si="42"/>
        <v>706.829752173914</v>
      </c>
      <c r="CA18" s="99">
        <f t="shared" si="42"/>
        <v>708.6557601449285</v>
      </c>
      <c r="CB18" s="99">
        <f t="shared" si="42"/>
        <v>710.4817681159429</v>
      </c>
      <c r="CC18" s="99">
        <f>CC16-CC17</f>
        <v>8405.26469130436</v>
      </c>
      <c r="CD18" s="99">
        <f aca="true" t="shared" si="45" ref="CD18:CO18">CD16-CD17</f>
        <v>712.3077760869575</v>
      </c>
      <c r="CE18" s="99">
        <f t="shared" si="45"/>
        <v>714.133784057972</v>
      </c>
      <c r="CF18" s="99">
        <f t="shared" si="45"/>
        <v>715.9597920289865</v>
      </c>
      <c r="CG18" s="99">
        <f t="shared" si="45"/>
        <v>717.7858000000009</v>
      </c>
      <c r="CH18" s="99">
        <f t="shared" si="45"/>
        <v>717.7858000000009</v>
      </c>
      <c r="CI18" s="99">
        <f t="shared" si="45"/>
        <v>717.7858000000009</v>
      </c>
      <c r="CJ18" s="99">
        <f t="shared" si="45"/>
        <v>717.7858000000009</v>
      </c>
      <c r="CK18" s="99">
        <f t="shared" si="45"/>
        <v>717.7858000000009</v>
      </c>
      <c r="CL18" s="99">
        <f t="shared" si="45"/>
        <v>717.7858000000009</v>
      </c>
      <c r="CM18" s="99">
        <f t="shared" si="45"/>
        <v>717.7858000000009</v>
      </c>
      <c r="CN18" s="99">
        <f t="shared" si="45"/>
        <v>717.7858000000009</v>
      </c>
      <c r="CO18" s="99">
        <f t="shared" si="45"/>
        <v>717.7858000000009</v>
      </c>
      <c r="CP18" s="99">
        <f>CP16-CP17</f>
        <v>8602.473552173924</v>
      </c>
    </row>
    <row r="19" spans="1:94" ht="15" customHeight="1">
      <c r="A19" s="101" t="s">
        <v>32</v>
      </c>
      <c r="B19" s="102">
        <f>CP19</f>
        <v>33120.168450000034</v>
      </c>
      <c r="C19" s="103"/>
      <c r="D19" s="99">
        <f>C19+D18</f>
        <v>0</v>
      </c>
      <c r="E19" s="99">
        <f>D19+E18</f>
        <v>0</v>
      </c>
      <c r="F19" s="99">
        <f aca="true" t="shared" si="46" ref="F19:O19">E19+F18</f>
        <v>0</v>
      </c>
      <c r="G19" s="99">
        <f t="shared" si="46"/>
        <v>-943.6497</v>
      </c>
      <c r="H19" s="99">
        <f t="shared" si="46"/>
        <v>-1337.2520000000002</v>
      </c>
      <c r="I19" s="99">
        <f t="shared" si="46"/>
        <v>-1626.0439000000001</v>
      </c>
      <c r="J19" s="99">
        <f t="shared" si="46"/>
        <v>-1917.74035</v>
      </c>
      <c r="K19" s="99">
        <f t="shared" si="46"/>
        <v>-2102.8003920289852</v>
      </c>
      <c r="L19" s="99">
        <f t="shared" si="46"/>
        <v>-2286.034426086956</v>
      </c>
      <c r="M19" s="99">
        <f t="shared" si="46"/>
        <v>-2362.6320521739126</v>
      </c>
      <c r="N19" s="99">
        <f t="shared" si="46"/>
        <v>-2437.4036702898547</v>
      </c>
      <c r="O19" s="99">
        <f t="shared" si="46"/>
        <v>-2510.349280434782</v>
      </c>
      <c r="P19" s="96">
        <f>O19</f>
        <v>-2510.349280434782</v>
      </c>
      <c r="Q19" s="99">
        <f>P19+Q18</f>
        <v>-2506.5614326086948</v>
      </c>
      <c r="R19" s="99">
        <f aca="true" t="shared" si="47" ref="R19:AA19">Q19+R18</f>
        <v>-2500.947576811593</v>
      </c>
      <c r="S19" s="99">
        <f t="shared" si="47"/>
        <v>-2493.507713043477</v>
      </c>
      <c r="T19" s="99">
        <f t="shared" si="47"/>
        <v>-2379.4314413043467</v>
      </c>
      <c r="U19" s="99">
        <f t="shared" si="47"/>
        <v>-2263.5291615942015</v>
      </c>
      <c r="V19" s="99">
        <f t="shared" si="47"/>
        <v>-2145.800873913042</v>
      </c>
      <c r="W19" s="99">
        <f t="shared" si="47"/>
        <v>-1921.4361782608682</v>
      </c>
      <c r="X19" s="99">
        <f t="shared" si="47"/>
        <v>-1695.24547463768</v>
      </c>
      <c r="Y19" s="99">
        <f t="shared" si="47"/>
        <v>-1467.2287630434773</v>
      </c>
      <c r="Z19" s="99">
        <f t="shared" si="47"/>
        <v>-1132.57564347826</v>
      </c>
      <c r="AA19" s="99">
        <f t="shared" si="47"/>
        <v>-796.0965159420281</v>
      </c>
      <c r="AB19" s="99">
        <f>AA19+AB18</f>
        <v>-457.7913804347817</v>
      </c>
      <c r="AC19" s="96">
        <f>AB19</f>
        <v>-457.7913804347817</v>
      </c>
      <c r="AD19" s="99">
        <f aca="true" t="shared" si="48" ref="AD19:AO19">AC19+AD18</f>
        <v>-127.62788695652057</v>
      </c>
      <c r="AE19" s="99">
        <f t="shared" si="48"/>
        <v>204.36161449275505</v>
      </c>
      <c r="AF19" s="99">
        <f t="shared" si="48"/>
        <v>538.1771239130452</v>
      </c>
      <c r="AG19" s="99">
        <f t="shared" si="48"/>
        <v>873.8186413043499</v>
      </c>
      <c r="AH19" s="99">
        <f t="shared" si="48"/>
        <v>1211.286166666669</v>
      </c>
      <c r="AI19" s="99">
        <f t="shared" si="48"/>
        <v>1550.5797000000025</v>
      </c>
      <c r="AJ19" s="99">
        <f t="shared" si="48"/>
        <v>1891.6992413043506</v>
      </c>
      <c r="AK19" s="99">
        <f t="shared" si="48"/>
        <v>2234.644790579713</v>
      </c>
      <c r="AL19" s="99">
        <f t="shared" si="48"/>
        <v>2579.4163478260903</v>
      </c>
      <c r="AM19" s="99">
        <f t="shared" si="48"/>
        <v>2926.013913043482</v>
      </c>
      <c r="AN19" s="99">
        <f t="shared" si="48"/>
        <v>3274.4374862318878</v>
      </c>
      <c r="AO19" s="99">
        <f t="shared" si="48"/>
        <v>3624.687067391308</v>
      </c>
      <c r="AP19" s="99">
        <f>AC19+AP18</f>
        <v>3624.6870673913104</v>
      </c>
      <c r="AQ19" s="99">
        <f aca="true" t="shared" si="49" ref="AQ19:BB19">AP19+AQ18</f>
        <v>4074.9279565217453</v>
      </c>
      <c r="AR19" s="99">
        <f t="shared" si="49"/>
        <v>4526.994853623195</v>
      </c>
      <c r="AS19" s="99">
        <f t="shared" si="49"/>
        <v>4980.887758695659</v>
      </c>
      <c r="AT19" s="99">
        <f t="shared" si="49"/>
        <v>5436.606671739137</v>
      </c>
      <c r="AU19" s="99">
        <f t="shared" si="49"/>
        <v>5894.151592753629</v>
      </c>
      <c r="AV19" s="99">
        <f t="shared" si="49"/>
        <v>6353.522521739136</v>
      </c>
      <c r="AW19" s="99">
        <f t="shared" si="49"/>
        <v>6814.719458695658</v>
      </c>
      <c r="AX19" s="99">
        <f t="shared" si="49"/>
        <v>7277.742403623195</v>
      </c>
      <c r="AY19" s="99">
        <f t="shared" si="49"/>
        <v>7742.591356521746</v>
      </c>
      <c r="AZ19" s="99">
        <f t="shared" si="49"/>
        <v>8209.266317391312</v>
      </c>
      <c r="BA19" s="99">
        <f t="shared" si="49"/>
        <v>8677.76728623189</v>
      </c>
      <c r="BB19" s="99">
        <f t="shared" si="49"/>
        <v>9148.094263043486</v>
      </c>
      <c r="BC19" s="99">
        <f>AP19+BC18</f>
        <v>9148.094263043487</v>
      </c>
      <c r="BD19" s="99">
        <f aca="true" t="shared" si="50" ref="BD19:BO19">BC19+BD18</f>
        <v>9718.412547826096</v>
      </c>
      <c r="BE19" s="99">
        <f t="shared" si="50"/>
        <v>10290.556840579718</v>
      </c>
      <c r="BF19" s="99">
        <f t="shared" si="50"/>
        <v>10864.527141304356</v>
      </c>
      <c r="BG19" s="99">
        <f t="shared" si="50"/>
        <v>11440.323450000007</v>
      </c>
      <c r="BH19" s="99">
        <f t="shared" si="50"/>
        <v>12017.945766666675</v>
      </c>
      <c r="BI19" s="99">
        <f t="shared" si="50"/>
        <v>12597.394091304357</v>
      </c>
      <c r="BJ19" s="99">
        <f t="shared" si="50"/>
        <v>13178.668423913054</v>
      </c>
      <c r="BK19" s="99">
        <f t="shared" si="50"/>
        <v>13761.768764492765</v>
      </c>
      <c r="BL19" s="99">
        <f t="shared" si="50"/>
        <v>14346.69511304349</v>
      </c>
      <c r="BM19" s="99">
        <f t="shared" si="50"/>
        <v>14933.44746956523</v>
      </c>
      <c r="BN19" s="99">
        <f t="shared" si="50"/>
        <v>15522.025834057984</v>
      </c>
      <c r="BO19" s="99">
        <f t="shared" si="50"/>
        <v>16112.430206521753</v>
      </c>
      <c r="BP19" s="99">
        <f>BC19+BP18</f>
        <v>16112.430206521749</v>
      </c>
      <c r="BQ19" s="99">
        <f aca="true" t="shared" si="51" ref="BQ19:CB19">BP19+BQ18</f>
        <v>16802.825886956532</v>
      </c>
      <c r="BR19" s="99">
        <f t="shared" si="51"/>
        <v>17495.047575362332</v>
      </c>
      <c r="BS19" s="99">
        <f t="shared" si="51"/>
        <v>18189.095271739145</v>
      </c>
      <c r="BT19" s="99">
        <f t="shared" si="51"/>
        <v>18884.968976086973</v>
      </c>
      <c r="BU19" s="99">
        <f t="shared" si="51"/>
        <v>19582.668688405814</v>
      </c>
      <c r="BV19" s="99">
        <f t="shared" si="51"/>
        <v>20282.194408695672</v>
      </c>
      <c r="BW19" s="99">
        <f t="shared" si="51"/>
        <v>20983.546136956542</v>
      </c>
      <c r="BX19" s="99">
        <f t="shared" si="51"/>
        <v>21686.723873188428</v>
      </c>
      <c r="BY19" s="99">
        <f t="shared" si="51"/>
        <v>22391.727617391327</v>
      </c>
      <c r="BZ19" s="99">
        <f t="shared" si="51"/>
        <v>23098.557369565242</v>
      </c>
      <c r="CA19" s="99">
        <f t="shared" si="51"/>
        <v>23807.21312971017</v>
      </c>
      <c r="CB19" s="99">
        <f t="shared" si="51"/>
        <v>24517.694897826113</v>
      </c>
      <c r="CC19" s="99">
        <f>BP19+CC18</f>
        <v>24517.69489782611</v>
      </c>
      <c r="CD19" s="99">
        <f aca="true" t="shared" si="52" ref="CD19:CO19">CC19+CD18</f>
        <v>25230.002673913066</v>
      </c>
      <c r="CE19" s="99">
        <f t="shared" si="52"/>
        <v>25944.13645797104</v>
      </c>
      <c r="CF19" s="99">
        <f t="shared" si="52"/>
        <v>26660.096250000024</v>
      </c>
      <c r="CG19" s="99">
        <f t="shared" si="52"/>
        <v>27377.882050000026</v>
      </c>
      <c r="CH19" s="99">
        <f t="shared" si="52"/>
        <v>28095.667850000027</v>
      </c>
      <c r="CI19" s="99">
        <f t="shared" si="52"/>
        <v>28813.45365000003</v>
      </c>
      <c r="CJ19" s="99">
        <f t="shared" si="52"/>
        <v>29531.23945000003</v>
      </c>
      <c r="CK19" s="99">
        <f t="shared" si="52"/>
        <v>30249.02525000003</v>
      </c>
      <c r="CL19" s="99">
        <f t="shared" si="52"/>
        <v>30966.811050000033</v>
      </c>
      <c r="CM19" s="99">
        <f t="shared" si="52"/>
        <v>31684.596850000034</v>
      </c>
      <c r="CN19" s="99">
        <f t="shared" si="52"/>
        <v>32402.382650000036</v>
      </c>
      <c r="CO19" s="99">
        <f t="shared" si="52"/>
        <v>33120.168450000034</v>
      </c>
      <c r="CP19" s="99">
        <f>CC19+CP18</f>
        <v>33120.168450000034</v>
      </c>
    </row>
    <row r="20" spans="1:237" ht="15" customHeight="1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</row>
    <row r="21" spans="1:94" ht="12.75" hidden="1">
      <c r="A21" s="106" t="s">
        <v>53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107" s="110" customFormat="1" ht="12.75" hidden="1">
      <c r="A22" s="283" t="s">
        <v>3</v>
      </c>
      <c r="B22" s="289" t="s">
        <v>0</v>
      </c>
      <c r="C22" s="107"/>
      <c r="D22" s="286">
        <f>D3</f>
        <v>2012</v>
      </c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8"/>
      <c r="Q22" s="286">
        <f>Q3</f>
        <v>2013</v>
      </c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8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108">
        <f>AP3</f>
        <v>2014</v>
      </c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108">
        <f>BC3</f>
        <v>2015</v>
      </c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108">
        <f>BP3</f>
        <v>2016</v>
      </c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108">
        <f>CC3</f>
        <v>2017</v>
      </c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108">
        <f>CP3</f>
        <v>2018</v>
      </c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</row>
    <row r="23" spans="1:107" s="110" customFormat="1" ht="19.5" customHeight="1" hidden="1">
      <c r="A23" s="284"/>
      <c r="B23" s="290"/>
      <c r="C23" s="111"/>
      <c r="D23" s="112">
        <f>D4</f>
        <v>1</v>
      </c>
      <c r="E23" s="112">
        <f aca="true" t="shared" si="53" ref="E23:O23">E4</f>
        <v>2</v>
      </c>
      <c r="F23" s="112">
        <f t="shared" si="53"/>
        <v>3</v>
      </c>
      <c r="G23" s="112">
        <f t="shared" si="53"/>
        <v>4</v>
      </c>
      <c r="H23" s="112">
        <f t="shared" si="53"/>
        <v>5</v>
      </c>
      <c r="I23" s="112">
        <f t="shared" si="53"/>
        <v>6</v>
      </c>
      <c r="J23" s="112">
        <f t="shared" si="53"/>
        <v>7</v>
      </c>
      <c r="K23" s="112">
        <f t="shared" si="53"/>
        <v>8</v>
      </c>
      <c r="L23" s="112">
        <f t="shared" si="53"/>
        <v>9</v>
      </c>
      <c r="M23" s="112">
        <f t="shared" si="53"/>
        <v>10</v>
      </c>
      <c r="N23" s="112">
        <f t="shared" si="53"/>
        <v>11</v>
      </c>
      <c r="O23" s="112">
        <f t="shared" si="53"/>
        <v>12</v>
      </c>
      <c r="P23" s="113" t="s">
        <v>0</v>
      </c>
      <c r="Q23" s="112">
        <f>Q4</f>
        <v>1</v>
      </c>
      <c r="R23" s="112">
        <f aca="true" t="shared" si="54" ref="R23:AB23">R4</f>
        <v>2</v>
      </c>
      <c r="S23" s="112">
        <f t="shared" si="54"/>
        <v>3</v>
      </c>
      <c r="T23" s="112">
        <f t="shared" si="54"/>
        <v>4</v>
      </c>
      <c r="U23" s="112">
        <f t="shared" si="54"/>
        <v>5</v>
      </c>
      <c r="V23" s="112">
        <f t="shared" si="54"/>
        <v>6</v>
      </c>
      <c r="W23" s="112">
        <f t="shared" si="54"/>
        <v>7</v>
      </c>
      <c r="X23" s="112">
        <f t="shared" si="54"/>
        <v>8</v>
      </c>
      <c r="Y23" s="112">
        <f t="shared" si="54"/>
        <v>9</v>
      </c>
      <c r="Z23" s="112">
        <f t="shared" si="54"/>
        <v>10</v>
      </c>
      <c r="AA23" s="112">
        <f t="shared" si="54"/>
        <v>11</v>
      </c>
      <c r="AB23" s="112">
        <f t="shared" si="54"/>
        <v>12</v>
      </c>
      <c r="AC23" s="113" t="s">
        <v>0</v>
      </c>
      <c r="AD23" s="112">
        <f>AD4</f>
        <v>1</v>
      </c>
      <c r="AE23" s="112">
        <f aca="true" t="shared" si="55" ref="AE23:AO23">AE4</f>
        <v>2</v>
      </c>
      <c r="AF23" s="112">
        <f t="shared" si="55"/>
        <v>3</v>
      </c>
      <c r="AG23" s="112">
        <f t="shared" si="55"/>
        <v>4</v>
      </c>
      <c r="AH23" s="112">
        <f t="shared" si="55"/>
        <v>5</v>
      </c>
      <c r="AI23" s="112">
        <f t="shared" si="55"/>
        <v>6</v>
      </c>
      <c r="AJ23" s="112">
        <f t="shared" si="55"/>
        <v>7</v>
      </c>
      <c r="AK23" s="112">
        <f t="shared" si="55"/>
        <v>8</v>
      </c>
      <c r="AL23" s="112">
        <f t="shared" si="55"/>
        <v>9</v>
      </c>
      <c r="AM23" s="112">
        <f t="shared" si="55"/>
        <v>10</v>
      </c>
      <c r="AN23" s="112">
        <f t="shared" si="55"/>
        <v>11</v>
      </c>
      <c r="AO23" s="112">
        <f t="shared" si="55"/>
        <v>12</v>
      </c>
      <c r="AP23" s="113"/>
      <c r="AQ23" s="112">
        <f>AQ4</f>
        <v>1</v>
      </c>
      <c r="AR23" s="112">
        <f aca="true" t="shared" si="56" ref="AR23:BB23">AR4</f>
        <v>2</v>
      </c>
      <c r="AS23" s="112">
        <f t="shared" si="56"/>
        <v>3</v>
      </c>
      <c r="AT23" s="112">
        <f t="shared" si="56"/>
        <v>4</v>
      </c>
      <c r="AU23" s="112">
        <f t="shared" si="56"/>
        <v>5</v>
      </c>
      <c r="AV23" s="112">
        <f t="shared" si="56"/>
        <v>6</v>
      </c>
      <c r="AW23" s="112">
        <f t="shared" si="56"/>
        <v>7</v>
      </c>
      <c r="AX23" s="112">
        <f t="shared" si="56"/>
        <v>8</v>
      </c>
      <c r="AY23" s="112">
        <f t="shared" si="56"/>
        <v>9</v>
      </c>
      <c r="AZ23" s="112">
        <f t="shared" si="56"/>
        <v>10</v>
      </c>
      <c r="BA23" s="112">
        <f t="shared" si="56"/>
        <v>11</v>
      </c>
      <c r="BB23" s="112">
        <f t="shared" si="56"/>
        <v>12</v>
      </c>
      <c r="BC23" s="113"/>
      <c r="BD23" s="112">
        <f>BD4</f>
        <v>1</v>
      </c>
      <c r="BE23" s="112">
        <f aca="true" t="shared" si="57" ref="BE23:BO23">BE4</f>
        <v>2</v>
      </c>
      <c r="BF23" s="112">
        <f t="shared" si="57"/>
        <v>3</v>
      </c>
      <c r="BG23" s="112">
        <f t="shared" si="57"/>
        <v>4</v>
      </c>
      <c r="BH23" s="112">
        <f t="shared" si="57"/>
        <v>5</v>
      </c>
      <c r="BI23" s="112">
        <f t="shared" si="57"/>
        <v>6</v>
      </c>
      <c r="BJ23" s="112">
        <f t="shared" si="57"/>
        <v>7</v>
      </c>
      <c r="BK23" s="112">
        <f t="shared" si="57"/>
        <v>8</v>
      </c>
      <c r="BL23" s="112">
        <f t="shared" si="57"/>
        <v>9</v>
      </c>
      <c r="BM23" s="112">
        <f t="shared" si="57"/>
        <v>10</v>
      </c>
      <c r="BN23" s="112">
        <f t="shared" si="57"/>
        <v>11</v>
      </c>
      <c r="BO23" s="112">
        <f t="shared" si="57"/>
        <v>12</v>
      </c>
      <c r="BP23" s="113"/>
      <c r="BQ23" s="112">
        <f>BQ4</f>
        <v>1</v>
      </c>
      <c r="BR23" s="112">
        <f aca="true" t="shared" si="58" ref="BR23:CB23">BR4</f>
        <v>2</v>
      </c>
      <c r="BS23" s="112">
        <f t="shared" si="58"/>
        <v>3</v>
      </c>
      <c r="BT23" s="112">
        <f t="shared" si="58"/>
        <v>4</v>
      </c>
      <c r="BU23" s="112">
        <f t="shared" si="58"/>
        <v>5</v>
      </c>
      <c r="BV23" s="112">
        <f t="shared" si="58"/>
        <v>6</v>
      </c>
      <c r="BW23" s="112">
        <f t="shared" si="58"/>
        <v>7</v>
      </c>
      <c r="BX23" s="112">
        <f t="shared" si="58"/>
        <v>8</v>
      </c>
      <c r="BY23" s="112">
        <f t="shared" si="58"/>
        <v>9</v>
      </c>
      <c r="BZ23" s="112">
        <f t="shared" si="58"/>
        <v>10</v>
      </c>
      <c r="CA23" s="112">
        <f t="shared" si="58"/>
        <v>11</v>
      </c>
      <c r="CB23" s="112">
        <f t="shared" si="58"/>
        <v>12</v>
      </c>
      <c r="CC23" s="113"/>
      <c r="CD23" s="112">
        <f>CD4</f>
        <v>1</v>
      </c>
      <c r="CE23" s="112">
        <f aca="true" t="shared" si="59" ref="CE23:CO23">CE4</f>
        <v>2</v>
      </c>
      <c r="CF23" s="112">
        <f t="shared" si="59"/>
        <v>3</v>
      </c>
      <c r="CG23" s="112">
        <f t="shared" si="59"/>
        <v>4</v>
      </c>
      <c r="CH23" s="112">
        <f t="shared" si="59"/>
        <v>5</v>
      </c>
      <c r="CI23" s="112">
        <f t="shared" si="59"/>
        <v>6</v>
      </c>
      <c r="CJ23" s="112">
        <f t="shared" si="59"/>
        <v>7</v>
      </c>
      <c r="CK23" s="112">
        <f t="shared" si="59"/>
        <v>8</v>
      </c>
      <c r="CL23" s="112">
        <f t="shared" si="59"/>
        <v>9</v>
      </c>
      <c r="CM23" s="112">
        <f t="shared" si="59"/>
        <v>10</v>
      </c>
      <c r="CN23" s="112">
        <f t="shared" si="59"/>
        <v>11</v>
      </c>
      <c r="CO23" s="112">
        <f t="shared" si="59"/>
        <v>12</v>
      </c>
      <c r="CP23" s="113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</row>
    <row r="24" spans="1:107" s="110" customFormat="1" ht="12.75" hidden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</row>
    <row r="25" spans="1:107" s="110" customFormat="1" ht="12.75" hidden="1">
      <c r="A25" s="114" t="s">
        <v>174</v>
      </c>
      <c r="B25" s="102">
        <f>P25+AC25+AP25+BC25+BP25+CC25+CP25</f>
        <v>0</v>
      </c>
      <c r="C25" s="116"/>
      <c r="D25" s="116">
        <f>D5*ндс</f>
        <v>0</v>
      </c>
      <c r="E25" s="116">
        <f>E5*ндс</f>
        <v>0</v>
      </c>
      <c r="F25" s="116">
        <f aca="true" t="shared" si="60" ref="F25:O25">F5*ндс</f>
        <v>0</v>
      </c>
      <c r="G25" s="116">
        <f t="shared" si="60"/>
        <v>0</v>
      </c>
      <c r="H25" s="116">
        <f t="shared" si="60"/>
        <v>0</v>
      </c>
      <c r="I25" s="116">
        <f t="shared" si="60"/>
        <v>0</v>
      </c>
      <c r="J25" s="116">
        <f t="shared" si="60"/>
        <v>0</v>
      </c>
      <c r="K25" s="116">
        <f t="shared" si="60"/>
        <v>0</v>
      </c>
      <c r="L25" s="116">
        <f t="shared" si="60"/>
        <v>0</v>
      </c>
      <c r="M25" s="116">
        <f>M5*ндс</f>
        <v>0</v>
      </c>
      <c r="N25" s="116">
        <f t="shared" si="60"/>
        <v>0</v>
      </c>
      <c r="O25" s="116">
        <f t="shared" si="60"/>
        <v>0</v>
      </c>
      <c r="P25" s="117">
        <f>SUM(D25:O25)</f>
        <v>0</v>
      </c>
      <c r="Q25" s="116">
        <f aca="true" t="shared" si="61" ref="Q25:CB25">Q5*ндс</f>
        <v>0</v>
      </c>
      <c r="R25" s="116">
        <f t="shared" si="61"/>
        <v>0</v>
      </c>
      <c r="S25" s="116">
        <f t="shared" si="61"/>
        <v>0</v>
      </c>
      <c r="T25" s="116">
        <f t="shared" si="61"/>
        <v>0</v>
      </c>
      <c r="U25" s="116">
        <f t="shared" si="61"/>
        <v>0</v>
      </c>
      <c r="V25" s="116">
        <f t="shared" si="61"/>
        <v>0</v>
      </c>
      <c r="W25" s="116">
        <f t="shared" si="61"/>
        <v>0</v>
      </c>
      <c r="X25" s="116">
        <f t="shared" si="61"/>
        <v>0</v>
      </c>
      <c r="Y25" s="116">
        <f t="shared" si="61"/>
        <v>0</v>
      </c>
      <c r="Z25" s="116">
        <f t="shared" si="61"/>
        <v>0</v>
      </c>
      <c r="AA25" s="116">
        <f t="shared" si="61"/>
        <v>0</v>
      </c>
      <c r="AB25" s="116">
        <f t="shared" si="61"/>
        <v>0</v>
      </c>
      <c r="AC25" s="117">
        <f>SUM(Q25:AB25)</f>
        <v>0</v>
      </c>
      <c r="AD25" s="116">
        <f aca="true" t="shared" si="62" ref="AD25:AO25">AD5*ндс</f>
        <v>0</v>
      </c>
      <c r="AE25" s="116">
        <f t="shared" si="62"/>
        <v>0</v>
      </c>
      <c r="AF25" s="116">
        <f t="shared" si="62"/>
        <v>0</v>
      </c>
      <c r="AG25" s="116">
        <f t="shared" si="62"/>
        <v>0</v>
      </c>
      <c r="AH25" s="116">
        <f t="shared" si="62"/>
        <v>0</v>
      </c>
      <c r="AI25" s="116">
        <f t="shared" si="62"/>
        <v>0</v>
      </c>
      <c r="AJ25" s="116">
        <f t="shared" si="62"/>
        <v>0</v>
      </c>
      <c r="AK25" s="116">
        <f t="shared" si="62"/>
        <v>0</v>
      </c>
      <c r="AL25" s="116">
        <f t="shared" si="62"/>
        <v>0</v>
      </c>
      <c r="AM25" s="116">
        <f t="shared" si="62"/>
        <v>0</v>
      </c>
      <c r="AN25" s="116">
        <f t="shared" si="62"/>
        <v>0</v>
      </c>
      <c r="AO25" s="116">
        <f t="shared" si="62"/>
        <v>0</v>
      </c>
      <c r="AP25" s="116">
        <f t="shared" si="61"/>
        <v>0</v>
      </c>
      <c r="AQ25" s="116">
        <f t="shared" si="61"/>
        <v>0</v>
      </c>
      <c r="AR25" s="116">
        <f t="shared" si="61"/>
        <v>0</v>
      </c>
      <c r="AS25" s="116">
        <f t="shared" si="61"/>
        <v>0</v>
      </c>
      <c r="AT25" s="116">
        <f t="shared" si="61"/>
        <v>0</v>
      </c>
      <c r="AU25" s="116">
        <f t="shared" si="61"/>
        <v>0</v>
      </c>
      <c r="AV25" s="116">
        <f t="shared" si="61"/>
        <v>0</v>
      </c>
      <c r="AW25" s="116">
        <f t="shared" si="61"/>
        <v>0</v>
      </c>
      <c r="AX25" s="116">
        <f t="shared" si="61"/>
        <v>0</v>
      </c>
      <c r="AY25" s="116">
        <f t="shared" si="61"/>
        <v>0</v>
      </c>
      <c r="AZ25" s="116">
        <f t="shared" si="61"/>
        <v>0</v>
      </c>
      <c r="BA25" s="116">
        <f t="shared" si="61"/>
        <v>0</v>
      </c>
      <c r="BB25" s="116">
        <f t="shared" si="61"/>
        <v>0</v>
      </c>
      <c r="BC25" s="116">
        <f t="shared" si="61"/>
        <v>0</v>
      </c>
      <c r="BD25" s="116">
        <f aca="true" t="shared" si="63" ref="BD25:BO25">BD5*ндс</f>
        <v>0</v>
      </c>
      <c r="BE25" s="116">
        <f t="shared" si="63"/>
        <v>0</v>
      </c>
      <c r="BF25" s="116">
        <f t="shared" si="63"/>
        <v>0</v>
      </c>
      <c r="BG25" s="116">
        <f t="shared" si="63"/>
        <v>0</v>
      </c>
      <c r="BH25" s="116">
        <f t="shared" si="63"/>
        <v>0</v>
      </c>
      <c r="BI25" s="116">
        <f t="shared" si="63"/>
        <v>0</v>
      </c>
      <c r="BJ25" s="116">
        <f t="shared" si="63"/>
        <v>0</v>
      </c>
      <c r="BK25" s="116">
        <f t="shared" si="63"/>
        <v>0</v>
      </c>
      <c r="BL25" s="116">
        <f t="shared" si="63"/>
        <v>0</v>
      </c>
      <c r="BM25" s="116">
        <f t="shared" si="63"/>
        <v>0</v>
      </c>
      <c r="BN25" s="116">
        <f t="shared" si="63"/>
        <v>0</v>
      </c>
      <c r="BO25" s="116">
        <f t="shared" si="63"/>
        <v>0</v>
      </c>
      <c r="BP25" s="116">
        <f t="shared" si="61"/>
        <v>0</v>
      </c>
      <c r="BQ25" s="116">
        <f t="shared" si="61"/>
        <v>0</v>
      </c>
      <c r="BR25" s="116">
        <f t="shared" si="61"/>
        <v>0</v>
      </c>
      <c r="BS25" s="116">
        <f t="shared" si="61"/>
        <v>0</v>
      </c>
      <c r="BT25" s="116">
        <f t="shared" si="61"/>
        <v>0</v>
      </c>
      <c r="BU25" s="116">
        <f t="shared" si="61"/>
        <v>0</v>
      </c>
      <c r="BV25" s="116">
        <f t="shared" si="61"/>
        <v>0</v>
      </c>
      <c r="BW25" s="116">
        <f t="shared" si="61"/>
        <v>0</v>
      </c>
      <c r="BX25" s="116">
        <f t="shared" si="61"/>
        <v>0</v>
      </c>
      <c r="BY25" s="116">
        <f t="shared" si="61"/>
        <v>0</v>
      </c>
      <c r="BZ25" s="116">
        <f t="shared" si="61"/>
        <v>0</v>
      </c>
      <c r="CA25" s="116">
        <f t="shared" si="61"/>
        <v>0</v>
      </c>
      <c r="CB25" s="116">
        <f t="shared" si="61"/>
        <v>0</v>
      </c>
      <c r="CC25" s="116">
        <f>CC5*ндс</f>
        <v>0</v>
      </c>
      <c r="CD25" s="116">
        <f aca="true" t="shared" si="64" ref="CD25:CO25">CD5*ндс</f>
        <v>0</v>
      </c>
      <c r="CE25" s="116">
        <f t="shared" si="64"/>
        <v>0</v>
      </c>
      <c r="CF25" s="116">
        <f t="shared" si="64"/>
        <v>0</v>
      </c>
      <c r="CG25" s="116">
        <f t="shared" si="64"/>
        <v>0</v>
      </c>
      <c r="CH25" s="116">
        <f t="shared" si="64"/>
        <v>0</v>
      </c>
      <c r="CI25" s="116">
        <f t="shared" si="64"/>
        <v>0</v>
      </c>
      <c r="CJ25" s="116">
        <f t="shared" si="64"/>
        <v>0</v>
      </c>
      <c r="CK25" s="116">
        <f t="shared" si="64"/>
        <v>0</v>
      </c>
      <c r="CL25" s="116">
        <f t="shared" si="64"/>
        <v>0</v>
      </c>
      <c r="CM25" s="116">
        <f t="shared" si="64"/>
        <v>0</v>
      </c>
      <c r="CN25" s="116">
        <f t="shared" si="64"/>
        <v>0</v>
      </c>
      <c r="CO25" s="116">
        <f t="shared" si="64"/>
        <v>0</v>
      </c>
      <c r="CP25" s="116">
        <f>CP5*ндс</f>
        <v>0</v>
      </c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</row>
    <row r="26" spans="1:107" s="110" customFormat="1" ht="12.75" hidden="1">
      <c r="A26" s="114" t="s">
        <v>175</v>
      </c>
      <c r="B26" s="102">
        <f>P26+AC26+AP26+BC26+BP26+CC26+CP26</f>
        <v>0</v>
      </c>
      <c r="C26" s="116"/>
      <c r="D26" s="116"/>
      <c r="E26" s="116"/>
      <c r="F26" s="116"/>
      <c r="G26" s="116"/>
      <c r="H26" s="116"/>
      <c r="I26" s="116"/>
      <c r="J26" s="116">
        <f>(J10/2+J11+J13-Пост!$C$6-Пост!$C$18-Пост!$C$21)*ндс</f>
        <v>0</v>
      </c>
      <c r="K26" s="116">
        <f>(K10/2+K11+K13-Пост!$C$6-Пост!$C$18-Пост!$C$21)*ндс</f>
        <v>0</v>
      </c>
      <c r="L26" s="116">
        <f>(L10/2+L11+L13-Пост!$C$6-Пост!$C$18-Пост!$C$21)*ндс</f>
        <v>0</v>
      </c>
      <c r="M26" s="116">
        <f>(M10/2+M11+M13-Пост!$C$6-Пост!$C$18-Пост!$C$21)*ндс</f>
        <v>0</v>
      </c>
      <c r="N26" s="116">
        <f>(N10/2+N11+N13-Пост!$C$6-Пост!$C$18-Пост!$C$21)*ндс</f>
        <v>0</v>
      </c>
      <c r="O26" s="116">
        <f>(O10/2+O11+O13-Пост!$C$6-Пост!$C$18-Пост!$C$21)*ндс</f>
        <v>0</v>
      </c>
      <c r="P26" s="117">
        <f>SUM(D26:O26)</f>
        <v>0</v>
      </c>
      <c r="Q26" s="116">
        <f>(Q10/2+Q11+Q13-Пост!$D$6-Пост!$D$18-Пост!$D$21)*ндс</f>
        <v>0</v>
      </c>
      <c r="R26" s="116">
        <f>(R10/2+R11+R13-Пост!$D$6-Пост!$D$18-Пост!$D$21)*ндс</f>
        <v>0</v>
      </c>
      <c r="S26" s="116">
        <f>(S10/2+S11+S13-Пост!$D$6-Пост!$D$18-Пост!$D$21)*ндс</f>
        <v>0</v>
      </c>
      <c r="T26" s="116">
        <f>(T10/2+T11+T13-Пост!$D$6-Пост!$D$18-Пост!$D$21)*ндс</f>
        <v>0</v>
      </c>
      <c r="U26" s="116">
        <f>(U10/2+U11+U13-Пост!$D$6-Пост!$D$18-Пост!$D$21)*ндс</f>
        <v>0</v>
      </c>
      <c r="V26" s="116">
        <f>(V10/2+V11+V13-Пост!$D$6-Пост!$D$18-Пост!$D$21)*ндс</f>
        <v>0</v>
      </c>
      <c r="W26" s="116">
        <f>(W10/2+W11+W13-Пост!$D$6-Пост!$D$18-Пост!$D$21)*ндс</f>
        <v>0</v>
      </c>
      <c r="X26" s="116">
        <f>(X10/2+X11+X13-Пост!$D$6-Пост!$D$18-Пост!$D$21)*ндс</f>
        <v>0</v>
      </c>
      <c r="Y26" s="116">
        <f>(Y10/2+Y11+Y13-Пост!$D$6-Пост!$D$18-Пост!$D$21)*ндс</f>
        <v>0</v>
      </c>
      <c r="Z26" s="116">
        <f>(Z10/2+Z11+Z13-Пост!$D$6-Пост!$D$18-Пост!$D$21)*ндс</f>
        <v>0</v>
      </c>
      <c r="AA26" s="116">
        <f>(AA10/2+AA11+AA13-Пост!$D$6-Пост!$D$18-Пост!$D$21)*ндс</f>
        <v>0</v>
      </c>
      <c r="AB26" s="116">
        <f>(AB10/2+AB11+AB13-Пост!$D$6-Пост!$D$18-Пост!$D$21)*ндс</f>
        <v>0</v>
      </c>
      <c r="AC26" s="117">
        <f>SUM(Q26:AB26)</f>
        <v>0</v>
      </c>
      <c r="AD26" s="116">
        <f>(AD10/2+AD11+AD13-Пост!$D$6-Пост!$D$18-Пост!$D$21)*ндс</f>
        <v>0</v>
      </c>
      <c r="AE26" s="116">
        <f>(AE10/2+AE11+AE13-Пост!$D$6-Пост!$D$18-Пост!$D$21)*ндс</f>
        <v>0</v>
      </c>
      <c r="AF26" s="116">
        <f>(AF10/2+AF11+AF13-Пост!$D$6-Пост!$D$18-Пост!$D$21)*ндс</f>
        <v>0</v>
      </c>
      <c r="AG26" s="116">
        <f>(AG10/2+AG11+AG13-Пост!$D$6-Пост!$D$18-Пост!$D$21)*ндс</f>
        <v>0</v>
      </c>
      <c r="AH26" s="116">
        <f>(AH10/2+AH11+AH13-Пост!$D$6-Пост!$D$18-Пост!$D$21)*ндс</f>
        <v>0</v>
      </c>
      <c r="AI26" s="116">
        <f>(AI10/2+AI11+AI13-Пост!$D$6-Пост!$D$18-Пост!$D$21)*ндс</f>
        <v>0</v>
      </c>
      <c r="AJ26" s="116">
        <f>(AJ10/2+AJ11+AJ13-Пост!$D$6-Пост!$D$18-Пост!$D$21)*ндс</f>
        <v>0</v>
      </c>
      <c r="AK26" s="116">
        <f>(AK10/2+AK11+AK13-Пост!$D$6-Пост!$D$18-Пост!$D$21)*ндс</f>
        <v>0</v>
      </c>
      <c r="AL26" s="116">
        <f>(AL10/2+AL11+AL13-Пост!$D$6-Пост!$D$18-Пост!$D$21)*ндс</f>
        <v>0</v>
      </c>
      <c r="AM26" s="116">
        <f>(AM10/2+AM11+AM13-Пост!$D$6-Пост!$D$18-Пост!$D$21)*ндс</f>
        <v>0</v>
      </c>
      <c r="AN26" s="116">
        <f>(AN10/2+AN11+AN13-Пост!$D$6-Пост!$D$18-Пост!$D$21)*ндс</f>
        <v>0</v>
      </c>
      <c r="AO26" s="116">
        <f>(AO10/2+AO11+AO13-Пост!$D$6-Пост!$D$18-Пост!$D$21)*ндс</f>
        <v>0</v>
      </c>
      <c r="AP26" s="116">
        <f>(AP10/2+AP11+AP13-(Пост!E6+Пост!E18+Пост!E21)*12)*ндс</f>
        <v>0</v>
      </c>
      <c r="AQ26" s="116">
        <f>(AQ10/2+AQ11+AQ13-Пост!$D$6-Пост!$D$18-Пост!$D$21)*ндс</f>
        <v>0</v>
      </c>
      <c r="AR26" s="116">
        <f>(AR10/2+AR11+AR13-Пост!$D$6-Пост!$D$18-Пост!$D$21)*ндс</f>
        <v>0</v>
      </c>
      <c r="AS26" s="116">
        <f>(AS10/2+AS11+AS13-Пост!$D$6-Пост!$D$18-Пост!$D$21)*ндс</f>
        <v>0</v>
      </c>
      <c r="AT26" s="116">
        <f>(AT10/2+AT11+AT13-Пост!$D$6-Пост!$D$18-Пост!$D$21)*ндс</f>
        <v>0</v>
      </c>
      <c r="AU26" s="116">
        <f>(AU10/2+AU11+AU13-Пост!$D$6-Пост!$D$18-Пост!$D$21)*ндс</f>
        <v>0</v>
      </c>
      <c r="AV26" s="116">
        <f>(AV10/2+AV11+AV13-Пост!$D$6-Пост!$D$18-Пост!$D$21)*ндс</f>
        <v>0</v>
      </c>
      <c r="AW26" s="116">
        <f>(AW10/2+AW11+AW13-Пост!$D$6-Пост!$D$18-Пост!$D$21)*ндс</f>
        <v>0</v>
      </c>
      <c r="AX26" s="116">
        <f>(AX10/2+AX11+AX13-Пост!$D$6-Пост!$D$18-Пост!$D$21)*ндс</f>
        <v>0</v>
      </c>
      <c r="AY26" s="116">
        <f>(AY10/2+AY11+AY13-Пост!$D$6-Пост!$D$18-Пост!$D$21)*ндс</f>
        <v>0</v>
      </c>
      <c r="AZ26" s="116">
        <f>(AZ10/2+AZ11+AZ13-Пост!$D$6-Пост!$D$18-Пост!$D$21)*ндс</f>
        <v>0</v>
      </c>
      <c r="BA26" s="116">
        <f>(BA10/2+BA11+BA13-Пост!$D$6-Пост!$D$18-Пост!$D$21)*ндс</f>
        <v>0</v>
      </c>
      <c r="BB26" s="116">
        <f>(BB10/2+BB11+BB13-Пост!$D$6-Пост!$D$18-Пост!$D$21)*ндс</f>
        <v>0</v>
      </c>
      <c r="BC26" s="116">
        <f>(BC10/2+BC11+BC13-(Пост!F6+Пост!F18+Пост!F21)*12)*ндс</f>
        <v>0</v>
      </c>
      <c r="BD26" s="116">
        <f>(BD10/2+BD11+BD13-Пост!$D$6-Пост!$D$18-Пост!$D$21)*ндс</f>
        <v>0</v>
      </c>
      <c r="BE26" s="116">
        <f>(BE10/2+BE11+BE13-Пост!$D$6-Пост!$D$18-Пост!$D$21)*ндс</f>
        <v>0</v>
      </c>
      <c r="BF26" s="116">
        <f>(BF10/2+BF11+BF13-Пост!$D$6-Пост!$D$18-Пост!$D$21)*ндс</f>
        <v>0</v>
      </c>
      <c r="BG26" s="116">
        <f>(BG10/2+BG11+BG13-Пост!$D$6-Пост!$D$18-Пост!$D$21)*ндс</f>
        <v>0</v>
      </c>
      <c r="BH26" s="116">
        <f>(BH10/2+BH11+BH13-Пост!$D$6-Пост!$D$18-Пост!$D$21)*ндс</f>
        <v>0</v>
      </c>
      <c r="BI26" s="116">
        <f>(BI10/2+BI11+BI13-Пост!$D$6-Пост!$D$18-Пост!$D$21)*ндс</f>
        <v>0</v>
      </c>
      <c r="BJ26" s="116">
        <f>(BJ10/2+BJ11+BJ13-Пост!$D$6-Пост!$D$18-Пост!$D$21)*ндс</f>
        <v>0</v>
      </c>
      <c r="BK26" s="116">
        <f>(BK10/2+BK11+BK13-Пост!$D$6-Пост!$D$18-Пост!$D$21)*ндс</f>
        <v>0</v>
      </c>
      <c r="BL26" s="116">
        <f>(BL10/2+BL11+BL13-Пост!$D$6-Пост!$D$18-Пост!$D$21)*ндс</f>
        <v>0</v>
      </c>
      <c r="BM26" s="116">
        <f>(BM10/2+BM11+BM13-Пост!$D$6-Пост!$D$18-Пост!$D$21)*ндс</f>
        <v>0</v>
      </c>
      <c r="BN26" s="116">
        <f>(BN10/2+BN11+BN13-Пост!$D$6-Пост!$D$18-Пост!$D$21)*ндс</f>
        <v>0</v>
      </c>
      <c r="BO26" s="116">
        <f>(BO10/2+BO11+BO13-Пост!$D$6-Пост!$D$18-Пост!$D$21)*ндс</f>
        <v>0</v>
      </c>
      <c r="BP26" s="116">
        <f>(BP10/2+BP11+BP13-(Пост!G6+Пост!G18+Пост!G21)*12)*ндс</f>
        <v>0</v>
      </c>
      <c r="BQ26" s="116">
        <f>(BQ10/2+BQ11+BQ13-Пост!$D$6-Пост!$D$18-Пост!$D$21)*ндс</f>
        <v>0</v>
      </c>
      <c r="BR26" s="116">
        <f>(BR10/2+BR11+BR13-Пост!$D$6-Пост!$D$18-Пост!$D$21)*ндс</f>
        <v>0</v>
      </c>
      <c r="BS26" s="116">
        <f>(BS10/2+BS11+BS13-Пост!$D$6-Пост!$D$18-Пост!$D$21)*ндс</f>
        <v>0</v>
      </c>
      <c r="BT26" s="116">
        <f>(BT10/2+BT11+BT13-Пост!$D$6-Пост!$D$18-Пост!$D$21)*ндс</f>
        <v>0</v>
      </c>
      <c r="BU26" s="116">
        <f>(BU10/2+BU11+BU13-Пост!$D$6-Пост!$D$18-Пост!$D$21)*ндс</f>
        <v>0</v>
      </c>
      <c r="BV26" s="116">
        <f>(BV10/2+BV11+BV13-Пост!$D$6-Пост!$D$18-Пост!$D$21)*ндс</f>
        <v>0</v>
      </c>
      <c r="BW26" s="116">
        <f>(BW10/2+BW11+BW13-Пост!$D$6-Пост!$D$18-Пост!$D$21)*ндс</f>
        <v>0</v>
      </c>
      <c r="BX26" s="116">
        <f>(BX10/2+BX11+BX13-Пост!$D$6-Пост!$D$18-Пост!$D$21)*ндс</f>
        <v>0</v>
      </c>
      <c r="BY26" s="116">
        <f>(BY10/2+BY11+BY13-Пост!$D$6-Пост!$D$18-Пост!$D$21)*ндс</f>
        <v>0</v>
      </c>
      <c r="BZ26" s="116">
        <f>(BZ10/2+BZ11+BZ13-Пост!$D$6-Пост!$D$18-Пост!$D$21)*ндс</f>
        <v>0</v>
      </c>
      <c r="CA26" s="116">
        <f>(CA10/2+CA11+CA13-Пост!$D$6-Пост!$D$18-Пост!$D$21)*ндс</f>
        <v>0</v>
      </c>
      <c r="CB26" s="116">
        <f>(CB10/2+CB11+CB13-Пост!$D$6-Пост!$D$18-Пост!$D$21)*ндс</f>
        <v>0</v>
      </c>
      <c r="CC26" s="116">
        <f>(CC10/2+CC11+CC13-(Пост!H6+Пост!H18+Пост!H21)*12)*ндс</f>
        <v>0</v>
      </c>
      <c r="CD26" s="116">
        <f>(CD10/2+CD11+CD13-Пост!$D$6-Пост!$D$18-Пост!$D$21)*ндс</f>
        <v>0</v>
      </c>
      <c r="CE26" s="116">
        <f>(CE10/2+CE11+CE13-Пост!$D$6-Пост!$D$18-Пост!$D$21)*ндс</f>
        <v>0</v>
      </c>
      <c r="CF26" s="116">
        <f>(CF10/2+CF11+CF13-Пост!$D$6-Пост!$D$18-Пост!$D$21)*ндс</f>
        <v>0</v>
      </c>
      <c r="CG26" s="116">
        <f>(CG10/2+CG11+CG13-Пост!$D$6-Пост!$D$18-Пост!$D$21)*ндс</f>
        <v>0</v>
      </c>
      <c r="CH26" s="116">
        <f>(CH10/2+CH11+CH13-Пост!$D$6-Пост!$D$18-Пост!$D$21)*ндс</f>
        <v>0</v>
      </c>
      <c r="CI26" s="116">
        <f>(CI10/2+CI11+CI13-Пост!$D$6-Пост!$D$18-Пост!$D$21)*ндс</f>
        <v>0</v>
      </c>
      <c r="CJ26" s="116">
        <f>(CJ10/2+CJ11+CJ13-Пост!$D$6-Пост!$D$18-Пост!$D$21)*ндс</f>
        <v>0</v>
      </c>
      <c r="CK26" s="116">
        <f>(CK10/2+CK11+CK13-Пост!$D$6-Пост!$D$18-Пост!$D$21)*ндс</f>
        <v>0</v>
      </c>
      <c r="CL26" s="116">
        <f>(CL10/2+CL11+CL13-Пост!$D$6-Пост!$D$18-Пост!$D$21)*ндс</f>
        <v>0</v>
      </c>
      <c r="CM26" s="116">
        <f>(CM10/2+CM11+CM13-Пост!$D$6-Пост!$D$18-Пост!$D$21)*ндс</f>
        <v>0</v>
      </c>
      <c r="CN26" s="116">
        <f>(CN10/2+CN11+CN13-Пост!$D$6-Пост!$D$18-Пост!$D$21)*ндс</f>
        <v>0</v>
      </c>
      <c r="CO26" s="116">
        <f>(CO10/2+CO11+CO13-Пост!$D$6-Пост!$D$18-Пост!$D$21)*ндс</f>
        <v>0</v>
      </c>
      <c r="CP26" s="116">
        <f>(CP10/2+CP11+CP13-(Пост!I6+Пост!I18+Пост!I21)*12)*ндс</f>
        <v>0</v>
      </c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</row>
    <row r="27" spans="1:107" s="110" customFormat="1" ht="12.75" hidden="1">
      <c r="A27" s="114" t="s">
        <v>176</v>
      </c>
      <c r="B27" s="102">
        <f>P27+AC27+AP27+BC27+BP27+CC27+CP27</f>
        <v>0</v>
      </c>
      <c r="C27" s="116"/>
      <c r="D27" s="116">
        <f>Инв!E17/Исх!$C$18*ндс</f>
        <v>0</v>
      </c>
      <c r="E27" s="116">
        <f>Инв!F17/Исх!$C$18*ндс</f>
        <v>0</v>
      </c>
      <c r="F27" s="116">
        <f>Инв!G17/Исх!$C$18*ндс</f>
        <v>0</v>
      </c>
      <c r="G27" s="116">
        <f>Инв!H17/Исх!$C$18*ндс</f>
        <v>0</v>
      </c>
      <c r="H27" s="116">
        <f>Инв!I17/Исх!$C$18*ндс</f>
        <v>0</v>
      </c>
      <c r="I27" s="116">
        <f>Инв!J17/Исх!$C$18*ндс</f>
        <v>0</v>
      </c>
      <c r="J27" s="116">
        <f>Инв!K17/Исх!$C$18*ндс</f>
        <v>0</v>
      </c>
      <c r="K27" s="116">
        <f>Инв!L17/Исх!$C$18*ндс</f>
        <v>0</v>
      </c>
      <c r="L27" s="116">
        <f>Инв!M17/Исх!$C$18*ндс</f>
        <v>0</v>
      </c>
      <c r="M27" s="116">
        <f>Инв!N17/Исх!$C$18*ндс</f>
        <v>0</v>
      </c>
      <c r="N27" s="116">
        <f>Инв!O17/Исх!$C$18*ндс</f>
        <v>0</v>
      </c>
      <c r="O27" s="116">
        <f>Инв!P17/Исх!$C$18*ндс</f>
        <v>0</v>
      </c>
      <c r="P27" s="117">
        <f>SUM(D27:O27)</f>
        <v>0</v>
      </c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7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7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7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7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</row>
    <row r="28" spans="1:107" s="110" customFormat="1" ht="12.75" hidden="1">
      <c r="A28" s="114" t="s">
        <v>30</v>
      </c>
      <c r="B28" s="102">
        <f>P28+AC28+AP28+BC28+BP28+CC28+CP28</f>
        <v>0</v>
      </c>
      <c r="C28" s="116"/>
      <c r="D28" s="116">
        <f>D25-D26-D27</f>
        <v>0</v>
      </c>
      <c r="E28" s="116">
        <f aca="true" t="shared" si="65" ref="E28:O28">E25-E26-E27</f>
        <v>0</v>
      </c>
      <c r="F28" s="116">
        <f t="shared" si="65"/>
        <v>0</v>
      </c>
      <c r="G28" s="116">
        <f t="shared" si="65"/>
        <v>0</v>
      </c>
      <c r="H28" s="116">
        <f t="shared" si="65"/>
        <v>0</v>
      </c>
      <c r="I28" s="116">
        <f t="shared" si="65"/>
        <v>0</v>
      </c>
      <c r="J28" s="116">
        <f t="shared" si="65"/>
        <v>0</v>
      </c>
      <c r="K28" s="116">
        <f t="shared" si="65"/>
        <v>0</v>
      </c>
      <c r="L28" s="116">
        <f t="shared" si="65"/>
        <v>0</v>
      </c>
      <c r="M28" s="116">
        <f t="shared" si="65"/>
        <v>0</v>
      </c>
      <c r="N28" s="116">
        <f t="shared" si="65"/>
        <v>0</v>
      </c>
      <c r="O28" s="116">
        <f t="shared" si="65"/>
        <v>0</v>
      </c>
      <c r="P28" s="117">
        <f>SUM(D28:O28)</f>
        <v>0</v>
      </c>
      <c r="Q28" s="116">
        <f aca="true" t="shared" si="66" ref="Q28:AB28">Q25-Q26-Q27</f>
        <v>0</v>
      </c>
      <c r="R28" s="116">
        <f t="shared" si="66"/>
        <v>0</v>
      </c>
      <c r="S28" s="116">
        <f t="shared" si="66"/>
        <v>0</v>
      </c>
      <c r="T28" s="116">
        <f t="shared" si="66"/>
        <v>0</v>
      </c>
      <c r="U28" s="116">
        <f t="shared" si="66"/>
        <v>0</v>
      </c>
      <c r="V28" s="116">
        <f t="shared" si="66"/>
        <v>0</v>
      </c>
      <c r="W28" s="116">
        <f t="shared" si="66"/>
        <v>0</v>
      </c>
      <c r="X28" s="116">
        <f t="shared" si="66"/>
        <v>0</v>
      </c>
      <c r="Y28" s="116">
        <f t="shared" si="66"/>
        <v>0</v>
      </c>
      <c r="Z28" s="116">
        <f t="shared" si="66"/>
        <v>0</v>
      </c>
      <c r="AA28" s="116">
        <f t="shared" si="66"/>
        <v>0</v>
      </c>
      <c r="AB28" s="116">
        <f t="shared" si="66"/>
        <v>0</v>
      </c>
      <c r="AC28" s="117">
        <f>SUM(Q28:AB28)</f>
        <v>0</v>
      </c>
      <c r="AD28" s="116">
        <f aca="true" t="shared" si="67" ref="AD28:AO28">AD25-AD26-AD27</f>
        <v>0</v>
      </c>
      <c r="AE28" s="116">
        <f t="shared" si="67"/>
        <v>0</v>
      </c>
      <c r="AF28" s="116">
        <f t="shared" si="67"/>
        <v>0</v>
      </c>
      <c r="AG28" s="116">
        <f t="shared" si="67"/>
        <v>0</v>
      </c>
      <c r="AH28" s="116">
        <f t="shared" si="67"/>
        <v>0</v>
      </c>
      <c r="AI28" s="116">
        <f t="shared" si="67"/>
        <v>0</v>
      </c>
      <c r="AJ28" s="116">
        <f t="shared" si="67"/>
        <v>0</v>
      </c>
      <c r="AK28" s="116">
        <f t="shared" si="67"/>
        <v>0</v>
      </c>
      <c r="AL28" s="116">
        <f t="shared" si="67"/>
        <v>0</v>
      </c>
      <c r="AM28" s="116">
        <f t="shared" si="67"/>
        <v>0</v>
      </c>
      <c r="AN28" s="116">
        <f t="shared" si="67"/>
        <v>0</v>
      </c>
      <c r="AO28" s="116">
        <f t="shared" si="67"/>
        <v>0</v>
      </c>
      <c r="AP28" s="116">
        <f>AP25-AP26-AP27</f>
        <v>0</v>
      </c>
      <c r="AQ28" s="116">
        <f aca="true" t="shared" si="68" ref="AQ28:BB28">AQ25-AQ26-AQ27</f>
        <v>0</v>
      </c>
      <c r="AR28" s="116">
        <f t="shared" si="68"/>
        <v>0</v>
      </c>
      <c r="AS28" s="116">
        <f t="shared" si="68"/>
        <v>0</v>
      </c>
      <c r="AT28" s="116">
        <f t="shared" si="68"/>
        <v>0</v>
      </c>
      <c r="AU28" s="116">
        <f t="shared" si="68"/>
        <v>0</v>
      </c>
      <c r="AV28" s="116">
        <f t="shared" si="68"/>
        <v>0</v>
      </c>
      <c r="AW28" s="116">
        <f t="shared" si="68"/>
        <v>0</v>
      </c>
      <c r="AX28" s="116">
        <f t="shared" si="68"/>
        <v>0</v>
      </c>
      <c r="AY28" s="116">
        <f t="shared" si="68"/>
        <v>0</v>
      </c>
      <c r="AZ28" s="116">
        <f t="shared" si="68"/>
        <v>0</v>
      </c>
      <c r="BA28" s="116">
        <f t="shared" si="68"/>
        <v>0</v>
      </c>
      <c r="BB28" s="116">
        <f t="shared" si="68"/>
        <v>0</v>
      </c>
      <c r="BC28" s="116">
        <f>BC25-BC26-BC27</f>
        <v>0</v>
      </c>
      <c r="BD28" s="116">
        <f aca="true" t="shared" si="69" ref="BD28:BO28">BD25-BD26-BD27</f>
        <v>0</v>
      </c>
      <c r="BE28" s="116">
        <f t="shared" si="69"/>
        <v>0</v>
      </c>
      <c r="BF28" s="116">
        <f t="shared" si="69"/>
        <v>0</v>
      </c>
      <c r="BG28" s="116">
        <f t="shared" si="69"/>
        <v>0</v>
      </c>
      <c r="BH28" s="116">
        <f t="shared" si="69"/>
        <v>0</v>
      </c>
      <c r="BI28" s="116">
        <f t="shared" si="69"/>
        <v>0</v>
      </c>
      <c r="BJ28" s="116">
        <f t="shared" si="69"/>
        <v>0</v>
      </c>
      <c r="BK28" s="116">
        <f t="shared" si="69"/>
        <v>0</v>
      </c>
      <c r="BL28" s="116">
        <f t="shared" si="69"/>
        <v>0</v>
      </c>
      <c r="BM28" s="116">
        <f t="shared" si="69"/>
        <v>0</v>
      </c>
      <c r="BN28" s="116">
        <f t="shared" si="69"/>
        <v>0</v>
      </c>
      <c r="BO28" s="116">
        <f t="shared" si="69"/>
        <v>0</v>
      </c>
      <c r="BP28" s="116">
        <f>BP25-BP26-BP27</f>
        <v>0</v>
      </c>
      <c r="BQ28" s="116">
        <f aca="true" t="shared" si="70" ref="BQ28:CB28">BQ25-BQ26-BQ27</f>
        <v>0</v>
      </c>
      <c r="BR28" s="116">
        <f t="shared" si="70"/>
        <v>0</v>
      </c>
      <c r="BS28" s="116">
        <f t="shared" si="70"/>
        <v>0</v>
      </c>
      <c r="BT28" s="116">
        <f t="shared" si="70"/>
        <v>0</v>
      </c>
      <c r="BU28" s="116">
        <f t="shared" si="70"/>
        <v>0</v>
      </c>
      <c r="BV28" s="116">
        <f t="shared" si="70"/>
        <v>0</v>
      </c>
      <c r="BW28" s="116">
        <f t="shared" si="70"/>
        <v>0</v>
      </c>
      <c r="BX28" s="116">
        <f t="shared" si="70"/>
        <v>0</v>
      </c>
      <c r="BY28" s="116">
        <f t="shared" si="70"/>
        <v>0</v>
      </c>
      <c r="BZ28" s="116">
        <f t="shared" si="70"/>
        <v>0</v>
      </c>
      <c r="CA28" s="116">
        <f t="shared" si="70"/>
        <v>0</v>
      </c>
      <c r="CB28" s="116">
        <f t="shared" si="70"/>
        <v>0</v>
      </c>
      <c r="CC28" s="116">
        <f>CC25-CC26-CC27</f>
        <v>0</v>
      </c>
      <c r="CD28" s="116">
        <f aca="true" t="shared" si="71" ref="CD28:CO28">CD25-CD26-CD27</f>
        <v>0</v>
      </c>
      <c r="CE28" s="116">
        <f t="shared" si="71"/>
        <v>0</v>
      </c>
      <c r="CF28" s="116">
        <f t="shared" si="71"/>
        <v>0</v>
      </c>
      <c r="CG28" s="116">
        <f t="shared" si="71"/>
        <v>0</v>
      </c>
      <c r="CH28" s="116">
        <f t="shared" si="71"/>
        <v>0</v>
      </c>
      <c r="CI28" s="116">
        <f t="shared" si="71"/>
        <v>0</v>
      </c>
      <c r="CJ28" s="116">
        <f t="shared" si="71"/>
        <v>0</v>
      </c>
      <c r="CK28" s="116">
        <f t="shared" si="71"/>
        <v>0</v>
      </c>
      <c r="CL28" s="116">
        <f t="shared" si="71"/>
        <v>0</v>
      </c>
      <c r="CM28" s="116">
        <f t="shared" si="71"/>
        <v>0</v>
      </c>
      <c r="CN28" s="116">
        <f t="shared" si="71"/>
        <v>0</v>
      </c>
      <c r="CO28" s="116">
        <f t="shared" si="71"/>
        <v>0</v>
      </c>
      <c r="CP28" s="116">
        <f>CP25-CP26-CP27</f>
        <v>0</v>
      </c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</row>
    <row r="29" spans="1:107" s="110" customFormat="1" ht="12.75" hidden="1">
      <c r="A29" s="114" t="s">
        <v>177</v>
      </c>
      <c r="B29" s="102">
        <f>CP29</f>
        <v>0</v>
      </c>
      <c r="C29" s="116"/>
      <c r="D29" s="116">
        <f>D28</f>
        <v>0</v>
      </c>
      <c r="E29" s="116">
        <f>D29+E28</f>
        <v>0</v>
      </c>
      <c r="F29" s="116">
        <f aca="true" t="shared" si="72" ref="F29:O29">E29+F28</f>
        <v>0</v>
      </c>
      <c r="G29" s="116">
        <f t="shared" si="72"/>
        <v>0</v>
      </c>
      <c r="H29" s="116">
        <f t="shared" si="72"/>
        <v>0</v>
      </c>
      <c r="I29" s="116">
        <f t="shared" si="72"/>
        <v>0</v>
      </c>
      <c r="J29" s="116">
        <f t="shared" si="72"/>
        <v>0</v>
      </c>
      <c r="K29" s="116">
        <f t="shared" si="72"/>
        <v>0</v>
      </c>
      <c r="L29" s="116">
        <f t="shared" si="72"/>
        <v>0</v>
      </c>
      <c r="M29" s="116">
        <f t="shared" si="72"/>
        <v>0</v>
      </c>
      <c r="N29" s="116">
        <f t="shared" si="72"/>
        <v>0</v>
      </c>
      <c r="O29" s="116">
        <f t="shared" si="72"/>
        <v>0</v>
      </c>
      <c r="P29" s="117">
        <f>O29</f>
        <v>0</v>
      </c>
      <c r="Q29" s="116">
        <f aca="true" t="shared" si="73" ref="Q29:AB29">P29+Q28</f>
        <v>0</v>
      </c>
      <c r="R29" s="116">
        <f t="shared" si="73"/>
        <v>0</v>
      </c>
      <c r="S29" s="116">
        <f t="shared" si="73"/>
        <v>0</v>
      </c>
      <c r="T29" s="116">
        <f t="shared" si="73"/>
        <v>0</v>
      </c>
      <c r="U29" s="116">
        <f t="shared" si="73"/>
        <v>0</v>
      </c>
      <c r="V29" s="116">
        <f t="shared" si="73"/>
        <v>0</v>
      </c>
      <c r="W29" s="116">
        <f t="shared" si="73"/>
        <v>0</v>
      </c>
      <c r="X29" s="116">
        <f t="shared" si="73"/>
        <v>0</v>
      </c>
      <c r="Y29" s="116">
        <f t="shared" si="73"/>
        <v>0</v>
      </c>
      <c r="Z29" s="116">
        <f t="shared" si="73"/>
        <v>0</v>
      </c>
      <c r="AA29" s="116">
        <f t="shared" si="73"/>
        <v>0</v>
      </c>
      <c r="AB29" s="116">
        <f t="shared" si="73"/>
        <v>0</v>
      </c>
      <c r="AC29" s="117">
        <f>AB29</f>
        <v>0</v>
      </c>
      <c r="AD29" s="116">
        <f aca="true" t="shared" si="74" ref="AD29:AO29">AC29+AD28</f>
        <v>0</v>
      </c>
      <c r="AE29" s="116">
        <f t="shared" si="74"/>
        <v>0</v>
      </c>
      <c r="AF29" s="116">
        <f t="shared" si="74"/>
        <v>0</v>
      </c>
      <c r="AG29" s="116">
        <f t="shared" si="74"/>
        <v>0</v>
      </c>
      <c r="AH29" s="116">
        <f t="shared" si="74"/>
        <v>0</v>
      </c>
      <c r="AI29" s="116">
        <f t="shared" si="74"/>
        <v>0</v>
      </c>
      <c r="AJ29" s="116">
        <f t="shared" si="74"/>
        <v>0</v>
      </c>
      <c r="AK29" s="116">
        <f t="shared" si="74"/>
        <v>0</v>
      </c>
      <c r="AL29" s="116">
        <f t="shared" si="74"/>
        <v>0</v>
      </c>
      <c r="AM29" s="116">
        <f t="shared" si="74"/>
        <v>0</v>
      </c>
      <c r="AN29" s="116">
        <f t="shared" si="74"/>
        <v>0</v>
      </c>
      <c r="AO29" s="116">
        <f t="shared" si="74"/>
        <v>0</v>
      </c>
      <c r="AP29" s="116">
        <f>AC29+AP28</f>
        <v>0</v>
      </c>
      <c r="AQ29" s="116">
        <f aca="true" t="shared" si="75" ref="AQ29:BB29">AP29+AQ28</f>
        <v>0</v>
      </c>
      <c r="AR29" s="116">
        <f t="shared" si="75"/>
        <v>0</v>
      </c>
      <c r="AS29" s="116">
        <f t="shared" si="75"/>
        <v>0</v>
      </c>
      <c r="AT29" s="116">
        <f t="shared" si="75"/>
        <v>0</v>
      </c>
      <c r="AU29" s="116">
        <f t="shared" si="75"/>
        <v>0</v>
      </c>
      <c r="AV29" s="116">
        <f t="shared" si="75"/>
        <v>0</v>
      </c>
      <c r="AW29" s="116">
        <f t="shared" si="75"/>
        <v>0</v>
      </c>
      <c r="AX29" s="116">
        <f t="shared" si="75"/>
        <v>0</v>
      </c>
      <c r="AY29" s="116">
        <f t="shared" si="75"/>
        <v>0</v>
      </c>
      <c r="AZ29" s="116">
        <f t="shared" si="75"/>
        <v>0</v>
      </c>
      <c r="BA29" s="116">
        <f t="shared" si="75"/>
        <v>0</v>
      </c>
      <c r="BB29" s="116">
        <f t="shared" si="75"/>
        <v>0</v>
      </c>
      <c r="BC29" s="116">
        <f>AP29+BC28</f>
        <v>0</v>
      </c>
      <c r="BD29" s="116">
        <f aca="true" t="shared" si="76" ref="BD29:BO29">BC29+BD28</f>
        <v>0</v>
      </c>
      <c r="BE29" s="116">
        <f t="shared" si="76"/>
        <v>0</v>
      </c>
      <c r="BF29" s="116">
        <f t="shared" si="76"/>
        <v>0</v>
      </c>
      <c r="BG29" s="116">
        <f t="shared" si="76"/>
        <v>0</v>
      </c>
      <c r="BH29" s="116">
        <f t="shared" si="76"/>
        <v>0</v>
      </c>
      <c r="BI29" s="116">
        <f t="shared" si="76"/>
        <v>0</v>
      </c>
      <c r="BJ29" s="116">
        <f t="shared" si="76"/>
        <v>0</v>
      </c>
      <c r="BK29" s="116">
        <f t="shared" si="76"/>
        <v>0</v>
      </c>
      <c r="BL29" s="116">
        <f t="shared" si="76"/>
        <v>0</v>
      </c>
      <c r="BM29" s="116">
        <f t="shared" si="76"/>
        <v>0</v>
      </c>
      <c r="BN29" s="116">
        <f t="shared" si="76"/>
        <v>0</v>
      </c>
      <c r="BO29" s="116">
        <f t="shared" si="76"/>
        <v>0</v>
      </c>
      <c r="BP29" s="116">
        <f>BC29+BP28</f>
        <v>0</v>
      </c>
      <c r="BQ29" s="116">
        <f aca="true" t="shared" si="77" ref="BQ29:CB29">BP29+BQ28</f>
        <v>0</v>
      </c>
      <c r="BR29" s="116">
        <f t="shared" si="77"/>
        <v>0</v>
      </c>
      <c r="BS29" s="116">
        <f t="shared" si="77"/>
        <v>0</v>
      </c>
      <c r="BT29" s="116">
        <f t="shared" si="77"/>
        <v>0</v>
      </c>
      <c r="BU29" s="116">
        <f t="shared" si="77"/>
        <v>0</v>
      </c>
      <c r="BV29" s="116">
        <f t="shared" si="77"/>
        <v>0</v>
      </c>
      <c r="BW29" s="116">
        <f t="shared" si="77"/>
        <v>0</v>
      </c>
      <c r="BX29" s="116">
        <f t="shared" si="77"/>
        <v>0</v>
      </c>
      <c r="BY29" s="116">
        <f t="shared" si="77"/>
        <v>0</v>
      </c>
      <c r="BZ29" s="116">
        <f t="shared" si="77"/>
        <v>0</v>
      </c>
      <c r="CA29" s="116">
        <f t="shared" si="77"/>
        <v>0</v>
      </c>
      <c r="CB29" s="116">
        <f t="shared" si="77"/>
        <v>0</v>
      </c>
      <c r="CC29" s="116">
        <f>BP29+CC28</f>
        <v>0</v>
      </c>
      <c r="CD29" s="116">
        <f aca="true" t="shared" si="78" ref="CD29:CO29">CC29+CD28</f>
        <v>0</v>
      </c>
      <c r="CE29" s="116">
        <f t="shared" si="78"/>
        <v>0</v>
      </c>
      <c r="CF29" s="116">
        <f t="shared" si="78"/>
        <v>0</v>
      </c>
      <c r="CG29" s="116">
        <f t="shared" si="78"/>
        <v>0</v>
      </c>
      <c r="CH29" s="116">
        <f t="shared" si="78"/>
        <v>0</v>
      </c>
      <c r="CI29" s="116">
        <f t="shared" si="78"/>
        <v>0</v>
      </c>
      <c r="CJ29" s="116">
        <f t="shared" si="78"/>
        <v>0</v>
      </c>
      <c r="CK29" s="116">
        <f t="shared" si="78"/>
        <v>0</v>
      </c>
      <c r="CL29" s="116">
        <f t="shared" si="78"/>
        <v>0</v>
      </c>
      <c r="CM29" s="116">
        <f t="shared" si="78"/>
        <v>0</v>
      </c>
      <c r="CN29" s="116">
        <f t="shared" si="78"/>
        <v>0</v>
      </c>
      <c r="CO29" s="116">
        <f t="shared" si="78"/>
        <v>0</v>
      </c>
      <c r="CP29" s="116">
        <f>CC29+CP28</f>
        <v>0</v>
      </c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</row>
    <row r="30" spans="1:107" s="110" customFormat="1" ht="12.75" hidden="1">
      <c r="A30" s="114" t="s">
        <v>178</v>
      </c>
      <c r="B30" s="102">
        <f>P30+AC30+AP30+BC30+BP30+CC30+CP30</f>
        <v>0</v>
      </c>
      <c r="C30" s="116"/>
      <c r="D30" s="116">
        <f>IF(C29+D28&gt;=0,IF(C29&lt;0,C29+D28,D28),0)</f>
        <v>0</v>
      </c>
      <c r="E30" s="116">
        <f aca="true" t="shared" si="79" ref="E30:AB30">IF(D29+E28&gt;=0,IF(D29&lt;0,D29+E28,E28),0)</f>
        <v>0</v>
      </c>
      <c r="F30" s="116">
        <f t="shared" si="79"/>
        <v>0</v>
      </c>
      <c r="G30" s="116">
        <f t="shared" si="79"/>
        <v>0</v>
      </c>
      <c r="H30" s="116">
        <f t="shared" si="79"/>
        <v>0</v>
      </c>
      <c r="I30" s="116">
        <f t="shared" si="79"/>
        <v>0</v>
      </c>
      <c r="J30" s="116">
        <f t="shared" si="79"/>
        <v>0</v>
      </c>
      <c r="K30" s="116">
        <f t="shared" si="79"/>
        <v>0</v>
      </c>
      <c r="L30" s="116">
        <f t="shared" si="79"/>
        <v>0</v>
      </c>
      <c r="M30" s="116">
        <f t="shared" si="79"/>
        <v>0</v>
      </c>
      <c r="N30" s="116">
        <f t="shared" si="79"/>
        <v>0</v>
      </c>
      <c r="O30" s="116">
        <f t="shared" si="79"/>
        <v>0</v>
      </c>
      <c r="P30" s="117">
        <f>SUM(D30:O30)</f>
        <v>0</v>
      </c>
      <c r="Q30" s="116">
        <f t="shared" si="79"/>
        <v>0</v>
      </c>
      <c r="R30" s="116">
        <f t="shared" si="79"/>
        <v>0</v>
      </c>
      <c r="S30" s="116">
        <f t="shared" si="79"/>
        <v>0</v>
      </c>
      <c r="T30" s="116">
        <f t="shared" si="79"/>
        <v>0</v>
      </c>
      <c r="U30" s="116">
        <f t="shared" si="79"/>
        <v>0</v>
      </c>
      <c r="V30" s="116">
        <f t="shared" si="79"/>
        <v>0</v>
      </c>
      <c r="W30" s="116">
        <f t="shared" si="79"/>
        <v>0</v>
      </c>
      <c r="X30" s="116">
        <f t="shared" si="79"/>
        <v>0</v>
      </c>
      <c r="Y30" s="116">
        <f t="shared" si="79"/>
        <v>0</v>
      </c>
      <c r="Z30" s="116">
        <f t="shared" si="79"/>
        <v>0</v>
      </c>
      <c r="AA30" s="116">
        <f t="shared" si="79"/>
        <v>0</v>
      </c>
      <c r="AB30" s="116">
        <f t="shared" si="79"/>
        <v>0</v>
      </c>
      <c r="AC30" s="117">
        <f>SUM(Q30:AB30)</f>
        <v>0</v>
      </c>
      <c r="AD30" s="116">
        <f aca="true" t="shared" si="80" ref="AD30:AO30">IF(AC29+AD28&gt;=0,IF(AC29&lt;0,AC29+AD28,AD28),0)</f>
        <v>0</v>
      </c>
      <c r="AE30" s="116">
        <f t="shared" si="80"/>
        <v>0</v>
      </c>
      <c r="AF30" s="116">
        <f t="shared" si="80"/>
        <v>0</v>
      </c>
      <c r="AG30" s="116">
        <f t="shared" si="80"/>
        <v>0</v>
      </c>
      <c r="AH30" s="116">
        <f t="shared" si="80"/>
        <v>0</v>
      </c>
      <c r="AI30" s="116">
        <f t="shared" si="80"/>
        <v>0</v>
      </c>
      <c r="AJ30" s="116">
        <f t="shared" si="80"/>
        <v>0</v>
      </c>
      <c r="AK30" s="116">
        <f t="shared" si="80"/>
        <v>0</v>
      </c>
      <c r="AL30" s="116">
        <f t="shared" si="80"/>
        <v>0</v>
      </c>
      <c r="AM30" s="116">
        <f t="shared" si="80"/>
        <v>0</v>
      </c>
      <c r="AN30" s="116">
        <f t="shared" si="80"/>
        <v>0</v>
      </c>
      <c r="AO30" s="116">
        <f t="shared" si="80"/>
        <v>0</v>
      </c>
      <c r="AP30" s="116">
        <f>IF(AC29+AP28&gt;=0,IF(AC29&lt;0,AC29+AP28,AP28),0)</f>
        <v>0</v>
      </c>
      <c r="AQ30" s="116">
        <f aca="true" t="shared" si="81" ref="AQ30:BB30">IF(AP29+AQ28&gt;=0,IF(AP29&lt;0,AP29+AQ28,AQ28),0)</f>
        <v>0</v>
      </c>
      <c r="AR30" s="116">
        <f t="shared" si="81"/>
        <v>0</v>
      </c>
      <c r="AS30" s="116">
        <f t="shared" si="81"/>
        <v>0</v>
      </c>
      <c r="AT30" s="116">
        <f t="shared" si="81"/>
        <v>0</v>
      </c>
      <c r="AU30" s="116">
        <f t="shared" si="81"/>
        <v>0</v>
      </c>
      <c r="AV30" s="116">
        <f t="shared" si="81"/>
        <v>0</v>
      </c>
      <c r="AW30" s="116">
        <f t="shared" si="81"/>
        <v>0</v>
      </c>
      <c r="AX30" s="116">
        <f t="shared" si="81"/>
        <v>0</v>
      </c>
      <c r="AY30" s="116">
        <f t="shared" si="81"/>
        <v>0</v>
      </c>
      <c r="AZ30" s="116">
        <f t="shared" si="81"/>
        <v>0</v>
      </c>
      <c r="BA30" s="116">
        <f t="shared" si="81"/>
        <v>0</v>
      </c>
      <c r="BB30" s="116">
        <f t="shared" si="81"/>
        <v>0</v>
      </c>
      <c r="BC30" s="116">
        <f>IF(AP29+BC28&gt;=0,IF(AP29&lt;0,AP29+BC28,BC28),0)</f>
        <v>0</v>
      </c>
      <c r="BD30" s="116">
        <f aca="true" t="shared" si="82" ref="BD30:BO30">IF(BC29+BD28&gt;=0,IF(BC29&lt;0,BC29+BD28,BD28),0)</f>
        <v>0</v>
      </c>
      <c r="BE30" s="116">
        <f t="shared" si="82"/>
        <v>0</v>
      </c>
      <c r="BF30" s="116">
        <f t="shared" si="82"/>
        <v>0</v>
      </c>
      <c r="BG30" s="116">
        <f t="shared" si="82"/>
        <v>0</v>
      </c>
      <c r="BH30" s="116">
        <f t="shared" si="82"/>
        <v>0</v>
      </c>
      <c r="BI30" s="116">
        <f t="shared" si="82"/>
        <v>0</v>
      </c>
      <c r="BJ30" s="116">
        <f t="shared" si="82"/>
        <v>0</v>
      </c>
      <c r="BK30" s="116">
        <f t="shared" si="82"/>
        <v>0</v>
      </c>
      <c r="BL30" s="116">
        <f t="shared" si="82"/>
        <v>0</v>
      </c>
      <c r="BM30" s="116">
        <f t="shared" si="82"/>
        <v>0</v>
      </c>
      <c r="BN30" s="116">
        <f t="shared" si="82"/>
        <v>0</v>
      </c>
      <c r="BO30" s="116">
        <f t="shared" si="82"/>
        <v>0</v>
      </c>
      <c r="BP30" s="116">
        <f>IF(BC29+BP28&gt;=0,IF(BC29&lt;0,BC29+BP28,BP28),0)</f>
        <v>0</v>
      </c>
      <c r="BQ30" s="116">
        <f aca="true" t="shared" si="83" ref="BQ30:CB30">IF(BP29+BQ28&gt;=0,IF(BP29&lt;0,BP29+BQ28,BQ28),0)</f>
        <v>0</v>
      </c>
      <c r="BR30" s="116">
        <f t="shared" si="83"/>
        <v>0</v>
      </c>
      <c r="BS30" s="116">
        <f t="shared" si="83"/>
        <v>0</v>
      </c>
      <c r="BT30" s="116">
        <f t="shared" si="83"/>
        <v>0</v>
      </c>
      <c r="BU30" s="116">
        <f t="shared" si="83"/>
        <v>0</v>
      </c>
      <c r="BV30" s="116">
        <f t="shared" si="83"/>
        <v>0</v>
      </c>
      <c r="BW30" s="116">
        <f t="shared" si="83"/>
        <v>0</v>
      </c>
      <c r="BX30" s="116">
        <f t="shared" si="83"/>
        <v>0</v>
      </c>
      <c r="BY30" s="116">
        <f t="shared" si="83"/>
        <v>0</v>
      </c>
      <c r="BZ30" s="116">
        <f t="shared" si="83"/>
        <v>0</v>
      </c>
      <c r="CA30" s="116">
        <f t="shared" si="83"/>
        <v>0</v>
      </c>
      <c r="CB30" s="116">
        <f t="shared" si="83"/>
        <v>0</v>
      </c>
      <c r="CC30" s="116">
        <f>IF(BP29+CC28&gt;=0,IF(BP29&lt;0,BP29+CC28,CC28),0)</f>
        <v>0</v>
      </c>
      <c r="CD30" s="116">
        <f aca="true" t="shared" si="84" ref="CD30:CO30">IF(CC29+CD28&gt;=0,IF(CC29&lt;0,CC29+CD28,CD28),0)</f>
        <v>0</v>
      </c>
      <c r="CE30" s="116">
        <f t="shared" si="84"/>
        <v>0</v>
      </c>
      <c r="CF30" s="116">
        <f t="shared" si="84"/>
        <v>0</v>
      </c>
      <c r="CG30" s="116">
        <f t="shared" si="84"/>
        <v>0</v>
      </c>
      <c r="CH30" s="116">
        <f t="shared" si="84"/>
        <v>0</v>
      </c>
      <c r="CI30" s="116">
        <f t="shared" si="84"/>
        <v>0</v>
      </c>
      <c r="CJ30" s="116">
        <f t="shared" si="84"/>
        <v>0</v>
      </c>
      <c r="CK30" s="116">
        <f t="shared" si="84"/>
        <v>0</v>
      </c>
      <c r="CL30" s="116">
        <f t="shared" si="84"/>
        <v>0</v>
      </c>
      <c r="CM30" s="116">
        <f t="shared" si="84"/>
        <v>0</v>
      </c>
      <c r="CN30" s="116">
        <f t="shared" si="84"/>
        <v>0</v>
      </c>
      <c r="CO30" s="116">
        <f t="shared" si="84"/>
        <v>0</v>
      </c>
      <c r="CP30" s="116">
        <f>IF(CC29+CP28&gt;=0,IF(CC29&lt;0,CC29+CP28,CP28),0)</f>
        <v>0</v>
      </c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</row>
    <row r="32" ht="12.75">
      <c r="B32" s="118">
        <f>B25-B26-B27</f>
        <v>0</v>
      </c>
    </row>
  </sheetData>
  <sheetProtection/>
  <mergeCells count="13">
    <mergeCell ref="AD3:AP3"/>
    <mergeCell ref="AQ3:BC3"/>
    <mergeCell ref="BD3:BP3"/>
    <mergeCell ref="BQ3:CC3"/>
    <mergeCell ref="CD3:CP3"/>
    <mergeCell ref="Q22:AC22"/>
    <mergeCell ref="Q3:AC3"/>
    <mergeCell ref="A3:A4"/>
    <mergeCell ref="A22:A23"/>
    <mergeCell ref="B3:B4"/>
    <mergeCell ref="D22:P22"/>
    <mergeCell ref="B22:B23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A41"/>
  <sheetViews>
    <sheetView showGridLines="0" showZeros="0" zoomScalePageLayoutView="0" workbookViewId="0" topLeftCell="A1">
      <pane xSplit="3" ySplit="4" topLeftCell="D11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K26" sqref="AK26"/>
    </sheetView>
  </sheetViews>
  <sheetFormatPr defaultColWidth="10.125" defaultRowHeight="12.75" outlineLevelCol="1"/>
  <cols>
    <col min="1" max="1" width="38.125" style="120" customWidth="1"/>
    <col min="2" max="2" width="2.375" style="120" customWidth="1"/>
    <col min="3" max="3" width="7.125" style="120" customWidth="1"/>
    <col min="4" max="4" width="11.375" style="120" hidden="1" customWidth="1" outlineLevel="1"/>
    <col min="5" max="11" width="7.375" style="120" hidden="1" customWidth="1" outlineLevel="1"/>
    <col min="12" max="12" width="8.00390625" style="120" hidden="1" customWidth="1" outlineLevel="1"/>
    <col min="13" max="13" width="7.875" style="120" hidden="1" customWidth="1" outlineLevel="1"/>
    <col min="14" max="15" width="8.125" style="120" hidden="1" customWidth="1" outlineLevel="1"/>
    <col min="16" max="16" width="9.875" style="120" customWidth="1" collapsed="1"/>
    <col min="17" max="23" width="8.375" style="120" hidden="1" customWidth="1" outlineLevel="1"/>
    <col min="24" max="25" width="8.75390625" style="120" hidden="1" customWidth="1" outlineLevel="1"/>
    <col min="26" max="26" width="8.625" style="120" hidden="1" customWidth="1" outlineLevel="1"/>
    <col min="27" max="27" width="9.00390625" style="120" hidden="1" customWidth="1" outlineLevel="1"/>
    <col min="28" max="28" width="9.125" style="120" hidden="1" customWidth="1" outlineLevel="1"/>
    <col min="29" max="29" width="10.125" style="120" customWidth="1" collapsed="1"/>
    <col min="30" max="30" width="9.875" style="120" customWidth="1"/>
    <col min="31" max="31" width="9.75390625" style="120" customWidth="1"/>
    <col min="32" max="32" width="9.625" style="120" customWidth="1"/>
    <col min="33" max="34" width="9.75390625" style="120" customWidth="1"/>
    <col min="35" max="16384" width="10.125" style="120" customWidth="1"/>
  </cols>
  <sheetData>
    <row r="1" spans="1:3" ht="12.75">
      <c r="A1" s="62" t="s">
        <v>123</v>
      </c>
      <c r="B1" s="119"/>
      <c r="C1" s="119"/>
    </row>
    <row r="2" spans="1:34" ht="17.25" customHeight="1">
      <c r="A2" s="62"/>
      <c r="C2" s="12" t="str">
        <f>Исх!$C$9</f>
        <v>тыс.тг.</v>
      </c>
      <c r="P2" s="121"/>
      <c r="AC2" s="121"/>
      <c r="AD2" s="121"/>
      <c r="AE2" s="121"/>
      <c r="AF2" s="121"/>
      <c r="AG2" s="121"/>
      <c r="AH2" s="121"/>
    </row>
    <row r="3" spans="1:34" ht="12.75" customHeight="1">
      <c r="A3" s="292" t="s">
        <v>3</v>
      </c>
      <c r="B3" s="294"/>
      <c r="C3" s="123"/>
      <c r="D3" s="295">
        <v>2012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>
        <v>2013</v>
      </c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124">
        <f>Q3+1</f>
        <v>2014</v>
      </c>
      <c r="AE3" s="124">
        <f>AD3+1</f>
        <v>2015</v>
      </c>
      <c r="AF3" s="124">
        <f>AE3+1</f>
        <v>2016</v>
      </c>
      <c r="AG3" s="124">
        <f>AF3+1</f>
        <v>2017</v>
      </c>
      <c r="AH3" s="124">
        <f>AG3+1</f>
        <v>2018</v>
      </c>
    </row>
    <row r="4" spans="1:34" ht="12.75">
      <c r="A4" s="293"/>
      <c r="B4" s="294"/>
      <c r="C4" s="125"/>
      <c r="D4" s="126">
        <v>1</v>
      </c>
      <c r="E4" s="126">
        <f>D4+1</f>
        <v>2</v>
      </c>
      <c r="F4" s="126">
        <f aca="true" t="shared" si="0" ref="F4:O4">E4+1</f>
        <v>3</v>
      </c>
      <c r="G4" s="126">
        <f t="shared" si="0"/>
        <v>4</v>
      </c>
      <c r="H4" s="126">
        <f t="shared" si="0"/>
        <v>5</v>
      </c>
      <c r="I4" s="126">
        <f t="shared" si="0"/>
        <v>6</v>
      </c>
      <c r="J4" s="126">
        <f t="shared" si="0"/>
        <v>7</v>
      </c>
      <c r="K4" s="126">
        <f t="shared" si="0"/>
        <v>8</v>
      </c>
      <c r="L4" s="126">
        <f t="shared" si="0"/>
        <v>9</v>
      </c>
      <c r="M4" s="126">
        <f t="shared" si="0"/>
        <v>10</v>
      </c>
      <c r="N4" s="126">
        <f t="shared" si="0"/>
        <v>11</v>
      </c>
      <c r="O4" s="126">
        <f t="shared" si="0"/>
        <v>12</v>
      </c>
      <c r="P4" s="122" t="s">
        <v>0</v>
      </c>
      <c r="Q4" s="126">
        <v>1</v>
      </c>
      <c r="R4" s="126">
        <f aca="true" t="shared" si="1" ref="R4:AB4">Q4+1</f>
        <v>2</v>
      </c>
      <c r="S4" s="126">
        <f t="shared" si="1"/>
        <v>3</v>
      </c>
      <c r="T4" s="126">
        <f t="shared" si="1"/>
        <v>4</v>
      </c>
      <c r="U4" s="126">
        <f t="shared" si="1"/>
        <v>5</v>
      </c>
      <c r="V4" s="126">
        <f t="shared" si="1"/>
        <v>6</v>
      </c>
      <c r="W4" s="126">
        <f t="shared" si="1"/>
        <v>7</v>
      </c>
      <c r="X4" s="126">
        <f t="shared" si="1"/>
        <v>8</v>
      </c>
      <c r="Y4" s="126">
        <f t="shared" si="1"/>
        <v>9</v>
      </c>
      <c r="Z4" s="126">
        <f t="shared" si="1"/>
        <v>10</v>
      </c>
      <c r="AA4" s="126">
        <f t="shared" si="1"/>
        <v>11</v>
      </c>
      <c r="AB4" s="126">
        <f t="shared" si="1"/>
        <v>12</v>
      </c>
      <c r="AC4" s="122" t="s">
        <v>0</v>
      </c>
      <c r="AD4" s="122"/>
      <c r="AE4" s="122"/>
      <c r="AF4" s="122"/>
      <c r="AG4" s="122"/>
      <c r="AH4" s="122"/>
    </row>
    <row r="5" spans="1:41" s="131" customFormat="1" ht="15" customHeight="1">
      <c r="A5" s="127" t="s">
        <v>124</v>
      </c>
      <c r="B5" s="128"/>
      <c r="C5" s="129">
        <f>C11+C6</f>
        <v>0</v>
      </c>
      <c r="D5" s="129">
        <f>D11+D6</f>
        <v>0</v>
      </c>
      <c r="E5" s="129">
        <f aca="true" t="shared" si="2" ref="E5:AH5">E11+E6</f>
        <v>0</v>
      </c>
      <c r="F5" s="129">
        <f t="shared" si="2"/>
        <v>4427.5</v>
      </c>
      <c r="G5" s="129">
        <f t="shared" si="2"/>
        <v>13448.425</v>
      </c>
      <c r="H5" s="129">
        <f t="shared" si="2"/>
        <v>14997.912699999997</v>
      </c>
      <c r="I5" s="129">
        <f t="shared" si="2"/>
        <v>14832.210799999997</v>
      </c>
      <c r="J5" s="129">
        <f t="shared" si="2"/>
        <v>14357.913552898548</v>
      </c>
      <c r="K5" s="129">
        <f t="shared" si="2"/>
        <v>13990.252713768114</v>
      </c>
      <c r="L5" s="129">
        <f t="shared" si="2"/>
        <v>13624.417882608692</v>
      </c>
      <c r="M5" s="129">
        <f t="shared" si="2"/>
        <v>13365.219459420285</v>
      </c>
      <c r="N5" s="129">
        <f t="shared" si="2"/>
        <v>13107.847044202894</v>
      </c>
      <c r="O5" s="129">
        <f t="shared" si="2"/>
        <v>12852.300636956516</v>
      </c>
      <c r="P5" s="129">
        <f t="shared" si="2"/>
        <v>12852.300636956516</v>
      </c>
      <c r="Q5" s="129">
        <f t="shared" si="2"/>
        <v>12673.487687681152</v>
      </c>
      <c r="R5" s="129">
        <f t="shared" si="2"/>
        <v>12496.500746376805</v>
      </c>
      <c r="S5" s="129">
        <f t="shared" si="2"/>
        <v>12321.33981304347</v>
      </c>
      <c r="T5" s="129">
        <f t="shared" si="2"/>
        <v>12252.815287681151</v>
      </c>
      <c r="U5" s="129">
        <f t="shared" si="2"/>
        <v>12186.116770289846</v>
      </c>
      <c r="V5" s="129">
        <f t="shared" si="2"/>
        <v>12121.244260869555</v>
      </c>
      <c r="W5" s="129">
        <f t="shared" si="2"/>
        <v>12163.008159420278</v>
      </c>
      <c r="X5" s="129">
        <f t="shared" si="2"/>
        <v>12206.598065942017</v>
      </c>
      <c r="Y5" s="129">
        <f t="shared" si="2"/>
        <v>12252.013980434767</v>
      </c>
      <c r="Z5" s="129">
        <f t="shared" si="2"/>
        <v>12404.066302898536</v>
      </c>
      <c r="AA5" s="129">
        <f t="shared" si="2"/>
        <v>12557.944633333318</v>
      </c>
      <c r="AB5" s="129">
        <f t="shared" si="2"/>
        <v>12713.648971739112</v>
      </c>
      <c r="AC5" s="129">
        <f t="shared" si="2"/>
        <v>12713.648971739112</v>
      </c>
      <c r="AD5" s="129">
        <f t="shared" si="2"/>
        <v>14604.917854347816</v>
      </c>
      <c r="AE5" s="129">
        <f t="shared" si="2"/>
        <v>17937.115484782607</v>
      </c>
      <c r="AF5" s="129">
        <f t="shared" si="2"/>
        <v>22710.24186304348</v>
      </c>
      <c r="AG5" s="129">
        <f t="shared" si="2"/>
        <v>28924.29698913044</v>
      </c>
      <c r="AH5" s="129">
        <f t="shared" si="2"/>
        <v>36978.968150000015</v>
      </c>
      <c r="AI5" s="130"/>
      <c r="AJ5" s="130"/>
      <c r="AK5" s="130"/>
      <c r="AL5" s="130"/>
      <c r="AM5" s="130"/>
      <c r="AN5" s="130"/>
      <c r="AO5" s="130"/>
    </row>
    <row r="6" spans="1:34" s="131" customFormat="1" ht="15" customHeight="1">
      <c r="A6" s="127" t="s">
        <v>125</v>
      </c>
      <c r="B6" s="128"/>
      <c r="C6" s="129">
        <f>SUM(C7:C10)</f>
        <v>0</v>
      </c>
      <c r="D6" s="129">
        <f>SUM(D7:D10)</f>
        <v>0</v>
      </c>
      <c r="E6" s="129">
        <f aca="true" t="shared" si="3" ref="E6:AH6">SUM(E7:E10)</f>
        <v>0</v>
      </c>
      <c r="F6" s="129">
        <f t="shared" si="3"/>
        <v>0</v>
      </c>
      <c r="G6" s="129">
        <f t="shared" si="3"/>
        <v>1242</v>
      </c>
      <c r="H6" s="129">
        <f t="shared" si="3"/>
        <v>2894.0626999999995</v>
      </c>
      <c r="I6" s="129">
        <f t="shared" si="3"/>
        <v>2830.9357999999997</v>
      </c>
      <c r="J6" s="129">
        <f t="shared" si="3"/>
        <v>2459.213552898551</v>
      </c>
      <c r="K6" s="129">
        <f t="shared" si="3"/>
        <v>2194.1277137681163</v>
      </c>
      <c r="L6" s="129">
        <f t="shared" si="3"/>
        <v>1930.8678826086962</v>
      </c>
      <c r="M6" s="129">
        <f t="shared" si="3"/>
        <v>1774.2444594202902</v>
      </c>
      <c r="N6" s="129">
        <f t="shared" si="3"/>
        <v>1619.447044202899</v>
      </c>
      <c r="O6" s="129">
        <f t="shared" si="3"/>
        <v>1466.4756369565223</v>
      </c>
      <c r="P6" s="129">
        <f t="shared" si="3"/>
        <v>1466.4756369565223</v>
      </c>
      <c r="Q6" s="129">
        <f t="shared" si="3"/>
        <v>1390.23768768116</v>
      </c>
      <c r="R6" s="129">
        <f t="shared" si="3"/>
        <v>1315.8257463768123</v>
      </c>
      <c r="S6" s="129">
        <f t="shared" si="3"/>
        <v>1243.2398130434788</v>
      </c>
      <c r="T6" s="129">
        <f t="shared" si="3"/>
        <v>1277.2902876811602</v>
      </c>
      <c r="U6" s="129">
        <f t="shared" si="3"/>
        <v>1313.1667702898558</v>
      </c>
      <c r="V6" s="129">
        <f t="shared" si="3"/>
        <v>1350.869260869566</v>
      </c>
      <c r="W6" s="129">
        <f t="shared" si="3"/>
        <v>1495.20815942029</v>
      </c>
      <c r="X6" s="129">
        <f t="shared" si="3"/>
        <v>1641.3730659420282</v>
      </c>
      <c r="Y6" s="129">
        <f t="shared" si="3"/>
        <v>1789.3639804347813</v>
      </c>
      <c r="Z6" s="129">
        <f t="shared" si="3"/>
        <v>2043.9913028985493</v>
      </c>
      <c r="AA6" s="129">
        <f t="shared" si="3"/>
        <v>2300.4446333333317</v>
      </c>
      <c r="AB6" s="129">
        <f t="shared" si="3"/>
        <v>2558.7239717391285</v>
      </c>
      <c r="AC6" s="129">
        <f t="shared" si="3"/>
        <v>2558.7239717391285</v>
      </c>
      <c r="AD6" s="129">
        <f t="shared" si="3"/>
        <v>5680.8928543478305</v>
      </c>
      <c r="AE6" s="129">
        <f t="shared" si="3"/>
        <v>10243.990484782622</v>
      </c>
      <c r="AF6" s="129">
        <f t="shared" si="3"/>
        <v>16248.016863043495</v>
      </c>
      <c r="AG6" s="129">
        <f t="shared" si="3"/>
        <v>23692.971989130452</v>
      </c>
      <c r="AH6" s="129">
        <f t="shared" si="3"/>
        <v>32978.54315000003</v>
      </c>
    </row>
    <row r="7" spans="1:34" ht="15" customHeight="1">
      <c r="A7" s="132" t="s">
        <v>126</v>
      </c>
      <c r="B7" s="128"/>
      <c r="C7" s="133"/>
      <c r="D7" s="133">
        <f>'1-Ф3'!D37</f>
        <v>0</v>
      </c>
      <c r="E7" s="133">
        <f>'1-Ф3'!E37</f>
        <v>0</v>
      </c>
      <c r="F7" s="133">
        <f>'1-Ф3'!F37</f>
        <v>0</v>
      </c>
      <c r="G7" s="133">
        <f>'1-Ф3'!G37</f>
        <v>0</v>
      </c>
      <c r="H7" s="133">
        <f>'1-Ф3'!H37</f>
        <v>1652.0626999999997</v>
      </c>
      <c r="I7" s="133">
        <f>'1-Ф3'!I37</f>
        <v>1588.9357999999997</v>
      </c>
      <c r="J7" s="133">
        <f>'1-Ф3'!J37</f>
        <v>1217.2135528985507</v>
      </c>
      <c r="K7" s="133">
        <f>'1-Ф3'!K37</f>
        <v>952.1277137681162</v>
      </c>
      <c r="L7" s="133">
        <f>'1-Ф3'!L37</f>
        <v>688.8678826086962</v>
      </c>
      <c r="M7" s="133">
        <f>'1-Ф3'!M37</f>
        <v>532.2444594202901</v>
      </c>
      <c r="N7" s="133">
        <f>'1-Ф3'!N37</f>
        <v>377.44704420289895</v>
      </c>
      <c r="O7" s="133">
        <f>'1-Ф3'!O37</f>
        <v>224.4756369565222</v>
      </c>
      <c r="P7" s="133">
        <f>'1-Ф3'!P37</f>
        <v>224.4756369565222</v>
      </c>
      <c r="Q7" s="133">
        <f>'1-Ф3'!Q37</f>
        <v>148.23768768116</v>
      </c>
      <c r="R7" s="133">
        <f>'1-Ф3'!R37</f>
        <v>73.82574637681219</v>
      </c>
      <c r="S7" s="133">
        <f>'1-Ф3'!S37</f>
        <v>1.2398130434788186</v>
      </c>
      <c r="T7" s="133">
        <f>'1-Ф3'!T37</f>
        <v>35.29028768116015</v>
      </c>
      <c r="U7" s="133">
        <f>'1-Ф3'!U37</f>
        <v>71.16677028985589</v>
      </c>
      <c r="V7" s="133">
        <f>'1-Ф3'!V37</f>
        <v>108.86926086956603</v>
      </c>
      <c r="W7" s="133">
        <f>'1-Ф3'!W37</f>
        <v>253.20815942028995</v>
      </c>
      <c r="X7" s="133">
        <f>'1-Ф3'!X37</f>
        <v>399.37306594202823</v>
      </c>
      <c r="Y7" s="133">
        <f>'1-Ф3'!Y37</f>
        <v>547.3639804347814</v>
      </c>
      <c r="Z7" s="133">
        <f>'1-Ф3'!Z37</f>
        <v>801.9913028985493</v>
      </c>
      <c r="AA7" s="133">
        <f>'1-Ф3'!AA37</f>
        <v>1058.4446333333317</v>
      </c>
      <c r="AB7" s="133">
        <f>'1-Ф3'!AB37</f>
        <v>1316.7239717391285</v>
      </c>
      <c r="AC7" s="133">
        <f>'1-Ф3'!AC37</f>
        <v>1316.7239717391285</v>
      </c>
      <c r="AD7" s="133">
        <f>'1-Ф3'!AP37</f>
        <v>4438.8928543478305</v>
      </c>
      <c r="AE7" s="133">
        <f>'1-Ф3'!BC37</f>
        <v>9001.990484782622</v>
      </c>
      <c r="AF7" s="133">
        <f>'1-Ф3'!BP37</f>
        <v>15006.016863043495</v>
      </c>
      <c r="AG7" s="133">
        <f>'1-Ф3'!CC37</f>
        <v>22450.971989130452</v>
      </c>
      <c r="AH7" s="133">
        <f>'1-Ф3'!CP37</f>
        <v>31736.543150000027</v>
      </c>
    </row>
    <row r="8" spans="1:34" ht="15" customHeight="1">
      <c r="A8" s="132" t="s">
        <v>127</v>
      </c>
      <c r="B8" s="128"/>
      <c r="C8" s="133"/>
      <c r="D8" s="133">
        <f>C8+'2-ф2'!D5-'1-Ф3'!D9/Исх!$C$18</f>
        <v>0</v>
      </c>
      <c r="E8" s="133">
        <f>D8+'2-ф2'!E5-'1-Ф3'!E9/Исх!$C$18</f>
        <v>0</v>
      </c>
      <c r="F8" s="133">
        <f>E8+'2-ф2'!F5-'1-Ф3'!F9/Исх!$C$18</f>
        <v>0</v>
      </c>
      <c r="G8" s="133">
        <f>F8+'2-ф2'!G5-'1-Ф3'!G9/Исх!$C$18</f>
        <v>0</v>
      </c>
      <c r="H8" s="133">
        <f>G8+'2-ф2'!H5-'1-Ф3'!H9/Исх!$C$18</f>
        <v>0</v>
      </c>
      <c r="I8" s="133">
        <f>H8+'2-ф2'!I5-'1-Ф3'!I9/Исх!$C$18</f>
        <v>0</v>
      </c>
      <c r="J8" s="133">
        <f>I8+'2-ф2'!J5-'1-Ф3'!J9/Исх!$C$18</f>
        <v>0</v>
      </c>
      <c r="K8" s="133">
        <f>J8+'2-ф2'!K5-'1-Ф3'!K9/Исх!$C$18</f>
        <v>0</v>
      </c>
      <c r="L8" s="133">
        <f>K8+'2-ф2'!L5-'1-Ф3'!L9/Исх!$C$18</f>
        <v>0</v>
      </c>
      <c r="M8" s="133">
        <f>L8+'2-ф2'!M5-'1-Ф3'!M9/Исх!$C$18</f>
        <v>0</v>
      </c>
      <c r="N8" s="133">
        <f>M8+'2-ф2'!N5-'1-Ф3'!N9/Исх!$C$18</f>
        <v>0</v>
      </c>
      <c r="O8" s="133">
        <f>N8+'2-ф2'!O5-'1-Ф3'!O9/Исх!$C$18</f>
        <v>0</v>
      </c>
      <c r="P8" s="133">
        <f>O8</f>
        <v>0</v>
      </c>
      <c r="Q8" s="133">
        <f>P8+'2-ф2'!Q5-'1-Ф3'!Q9/Исх!$C$18</f>
        <v>0</v>
      </c>
      <c r="R8" s="133">
        <f>Q8+'2-ф2'!R5-'1-Ф3'!R9/Исх!$C$18</f>
        <v>0</v>
      </c>
      <c r="S8" s="133">
        <f>R8+'2-ф2'!S5-'1-Ф3'!S9/Исх!$C$18</f>
        <v>0</v>
      </c>
      <c r="T8" s="133">
        <f>S8+'2-ф2'!T5-'1-Ф3'!T9/Исх!$C$18</f>
        <v>0</v>
      </c>
      <c r="U8" s="133">
        <f>T8+'2-ф2'!U5-'1-Ф3'!U9/Исх!$C$18</f>
        <v>0</v>
      </c>
      <c r="V8" s="133">
        <f>U8+'2-ф2'!V5-'1-Ф3'!V9/Исх!$C$18</f>
        <v>0</v>
      </c>
      <c r="W8" s="133">
        <f>V8+'2-ф2'!W5-'1-Ф3'!W9/Исх!$C$18</f>
        <v>0</v>
      </c>
      <c r="X8" s="133">
        <f>W8+'2-ф2'!X5-'1-Ф3'!X9/Исх!$C$18</f>
        <v>0</v>
      </c>
      <c r="Y8" s="133">
        <f>X8+'2-ф2'!Y5-'1-Ф3'!Y9/Исх!$C$18</f>
        <v>0</v>
      </c>
      <c r="Z8" s="133">
        <f>Y8+'2-ф2'!Z5-'1-Ф3'!Z9/Исх!$C$18</f>
        <v>0</v>
      </c>
      <c r="AA8" s="133">
        <f>Z8+'2-ф2'!AA5-'1-Ф3'!AA9/Исх!$C$18</f>
        <v>0</v>
      </c>
      <c r="AB8" s="133">
        <f>AA8+'2-ф2'!AB5-'1-Ф3'!AB9/Исх!$C$18</f>
        <v>0</v>
      </c>
      <c r="AC8" s="133">
        <f>AB8</f>
        <v>0</v>
      </c>
      <c r="AD8" s="133">
        <f>AC8+'2-ф2'!AP5-'1-Ф3'!AP9/Исх!$C$18</f>
        <v>0</v>
      </c>
      <c r="AE8" s="133">
        <f>AD8+'2-ф2'!BC5-'1-Ф3'!BC9/Исх!$C$18</f>
        <v>0</v>
      </c>
      <c r="AF8" s="133">
        <f>AE8+'2-ф2'!BP5-'1-Ф3'!BP9/Исх!$C$18</f>
        <v>0</v>
      </c>
      <c r="AG8" s="133">
        <f>AF8+'2-ф2'!CC5-'1-Ф3'!CC9/Исх!$C$18</f>
        <v>0</v>
      </c>
      <c r="AH8" s="133">
        <f>AG8+'2-ф2'!CP5-'1-Ф3'!CP9/Исх!$C$18</f>
        <v>0</v>
      </c>
    </row>
    <row r="9" spans="1:34" ht="15" customHeight="1">
      <c r="A9" s="132" t="s">
        <v>128</v>
      </c>
      <c r="B9" s="128"/>
      <c r="C9" s="133"/>
      <c r="D9" s="133">
        <f>C9+'1-Ф3'!D14/Исх!$C$18-'2-ф2'!D10</f>
        <v>0</v>
      </c>
      <c r="E9" s="133">
        <f>D9+'1-Ф3'!E14/Исх!$C$18-'2-ф2'!E10</f>
        <v>0</v>
      </c>
      <c r="F9" s="133">
        <f>E9+'1-Ф3'!F14/Исх!$C$18-'2-ф2'!F10</f>
        <v>0</v>
      </c>
      <c r="G9" s="133">
        <f>F9+'1-Ф3'!G14/Исх!$C$18-'2-ф2'!G10</f>
        <v>1242</v>
      </c>
      <c r="H9" s="133">
        <f>G9+'1-Ф3'!H14/Исх!$C$18-'2-ф2'!H10</f>
        <v>1242</v>
      </c>
      <c r="I9" s="133">
        <f>H9+'1-Ф3'!I14/Исх!$C$18-'2-ф2'!I10</f>
        <v>1242</v>
      </c>
      <c r="J9" s="133">
        <f aca="true" t="shared" si="4" ref="J9:O9">I9</f>
        <v>1242</v>
      </c>
      <c r="K9" s="133">
        <f t="shared" si="4"/>
        <v>1242</v>
      </c>
      <c r="L9" s="133">
        <f t="shared" si="4"/>
        <v>1242</v>
      </c>
      <c r="M9" s="133">
        <f t="shared" si="4"/>
        <v>1242</v>
      </c>
      <c r="N9" s="133">
        <f t="shared" si="4"/>
        <v>1242</v>
      </c>
      <c r="O9" s="133">
        <f t="shared" si="4"/>
        <v>1242</v>
      </c>
      <c r="P9" s="133">
        <f>O9</f>
        <v>1242</v>
      </c>
      <c r="Q9" s="133">
        <f>O9</f>
        <v>1242</v>
      </c>
      <c r="R9" s="133">
        <f aca="true" t="shared" si="5" ref="R9:AB9">P9</f>
        <v>1242</v>
      </c>
      <c r="S9" s="133">
        <f t="shared" si="5"/>
        <v>1242</v>
      </c>
      <c r="T9" s="133">
        <f t="shared" si="5"/>
        <v>1242</v>
      </c>
      <c r="U9" s="133">
        <f t="shared" si="5"/>
        <v>1242</v>
      </c>
      <c r="V9" s="133">
        <f t="shared" si="5"/>
        <v>1242</v>
      </c>
      <c r="W9" s="133">
        <f t="shared" si="5"/>
        <v>1242</v>
      </c>
      <c r="X9" s="133">
        <f t="shared" si="5"/>
        <v>1242</v>
      </c>
      <c r="Y9" s="133">
        <f t="shared" si="5"/>
        <v>1242</v>
      </c>
      <c r="Z9" s="133">
        <f t="shared" si="5"/>
        <v>1242</v>
      </c>
      <c r="AA9" s="133">
        <f t="shared" si="5"/>
        <v>1242</v>
      </c>
      <c r="AB9" s="133">
        <f t="shared" si="5"/>
        <v>1242</v>
      </c>
      <c r="AC9" s="133">
        <f>AB9</f>
        <v>1242</v>
      </c>
      <c r="AD9" s="133">
        <f>AB9</f>
        <v>1242</v>
      </c>
      <c r="AE9" s="133">
        <f>AC9</f>
        <v>1242</v>
      </c>
      <c r="AF9" s="133">
        <f>AD9</f>
        <v>1242</v>
      </c>
      <c r="AG9" s="133">
        <f>AE9</f>
        <v>1242</v>
      </c>
      <c r="AH9" s="133">
        <f>AF9</f>
        <v>1242</v>
      </c>
    </row>
    <row r="10" spans="1:34" ht="15" customHeight="1">
      <c r="A10" s="132" t="s">
        <v>129</v>
      </c>
      <c r="B10" s="128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>
        <f>O10</f>
        <v>0</v>
      </c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>
        <f>AB10</f>
        <v>0</v>
      </c>
      <c r="AD10" s="133"/>
      <c r="AE10" s="133"/>
      <c r="AF10" s="133"/>
      <c r="AG10" s="133"/>
      <c r="AH10" s="133"/>
    </row>
    <row r="11" spans="1:34" ht="15" customHeight="1">
      <c r="A11" s="127" t="s">
        <v>130</v>
      </c>
      <c r="B11" s="128"/>
      <c r="C11" s="129">
        <f aca="true" t="shared" si="6" ref="C11:AH11">SUM(C12:C14)</f>
        <v>0</v>
      </c>
      <c r="D11" s="129">
        <f t="shared" si="6"/>
        <v>0</v>
      </c>
      <c r="E11" s="129">
        <f t="shared" si="6"/>
        <v>0</v>
      </c>
      <c r="F11" s="129">
        <f t="shared" si="6"/>
        <v>4427.5</v>
      </c>
      <c r="G11" s="129">
        <f t="shared" si="6"/>
        <v>12206.425</v>
      </c>
      <c r="H11" s="129">
        <f t="shared" si="6"/>
        <v>12103.849999999999</v>
      </c>
      <c r="I11" s="129">
        <f t="shared" si="6"/>
        <v>12001.274999999998</v>
      </c>
      <c r="J11" s="129">
        <f t="shared" si="6"/>
        <v>11898.699999999997</v>
      </c>
      <c r="K11" s="129">
        <f t="shared" si="6"/>
        <v>11796.124999999996</v>
      </c>
      <c r="L11" s="129">
        <f t="shared" si="6"/>
        <v>11693.549999999996</v>
      </c>
      <c r="M11" s="129">
        <f t="shared" si="6"/>
        <v>11590.974999999995</v>
      </c>
      <c r="N11" s="129">
        <f t="shared" si="6"/>
        <v>11488.399999999994</v>
      </c>
      <c r="O11" s="129">
        <f t="shared" si="6"/>
        <v>11385.824999999993</v>
      </c>
      <c r="P11" s="129">
        <f t="shared" si="6"/>
        <v>11385.824999999993</v>
      </c>
      <c r="Q11" s="129">
        <f t="shared" si="6"/>
        <v>11283.249999999993</v>
      </c>
      <c r="R11" s="129">
        <f t="shared" si="6"/>
        <v>11180.674999999992</v>
      </c>
      <c r="S11" s="129">
        <f t="shared" si="6"/>
        <v>11078.099999999991</v>
      </c>
      <c r="T11" s="129">
        <f t="shared" si="6"/>
        <v>10975.52499999999</v>
      </c>
      <c r="U11" s="129">
        <f t="shared" si="6"/>
        <v>10872.94999999999</v>
      </c>
      <c r="V11" s="129">
        <f t="shared" si="6"/>
        <v>10770.374999999989</v>
      </c>
      <c r="W11" s="129">
        <f t="shared" si="6"/>
        <v>10667.799999999988</v>
      </c>
      <c r="X11" s="129">
        <f t="shared" si="6"/>
        <v>10565.224999999988</v>
      </c>
      <c r="Y11" s="129">
        <f t="shared" si="6"/>
        <v>10462.649999999987</v>
      </c>
      <c r="Z11" s="129">
        <f t="shared" si="6"/>
        <v>10360.074999999986</v>
      </c>
      <c r="AA11" s="129">
        <f t="shared" si="6"/>
        <v>10257.499999999985</v>
      </c>
      <c r="AB11" s="129">
        <f t="shared" si="6"/>
        <v>10154.924999999985</v>
      </c>
      <c r="AC11" s="129">
        <f t="shared" si="6"/>
        <v>10154.924999999985</v>
      </c>
      <c r="AD11" s="129">
        <f t="shared" si="6"/>
        <v>8924.024999999985</v>
      </c>
      <c r="AE11" s="129">
        <f t="shared" si="6"/>
        <v>7693.124999999985</v>
      </c>
      <c r="AF11" s="129">
        <f t="shared" si="6"/>
        <v>6462.224999999986</v>
      </c>
      <c r="AG11" s="129">
        <f t="shared" si="6"/>
        <v>5231.324999999986</v>
      </c>
      <c r="AH11" s="129">
        <f t="shared" si="6"/>
        <v>4000.424999999986</v>
      </c>
    </row>
    <row r="12" spans="1:34" ht="12.75">
      <c r="A12" s="132" t="s">
        <v>131</v>
      </c>
      <c r="B12" s="134"/>
      <c r="C12" s="133"/>
      <c r="D12" s="133">
        <f>C12+'1-Ф3'!D23/Исх!$C$18-'2-ф2'!D14</f>
        <v>0</v>
      </c>
      <c r="E12" s="133">
        <f>D12+'1-Ф3'!E23/Исх!$C$18-'2-ф2'!E14</f>
        <v>0</v>
      </c>
      <c r="F12" s="133">
        <f>E12+'1-Ф3'!F23/Исх!$C$18-'2-ф2'!F14</f>
        <v>4427.5</v>
      </c>
      <c r="G12" s="133">
        <f>F12+'1-Ф3'!G23/Исх!$C$18-'2-ф2'!G14</f>
        <v>12206.425</v>
      </c>
      <c r="H12" s="133">
        <f>G12+'1-Ф3'!H23/Исх!$C$18-'2-ф2'!H14</f>
        <v>12103.849999999999</v>
      </c>
      <c r="I12" s="133">
        <f>H12+'1-Ф3'!I23/Исх!$C$18-'2-ф2'!I14</f>
        <v>12001.274999999998</v>
      </c>
      <c r="J12" s="133">
        <f>I12+'1-Ф3'!J23/Исх!$C$18-'2-ф2'!J14</f>
        <v>11898.699999999997</v>
      </c>
      <c r="K12" s="133">
        <f>J12+'1-Ф3'!K23/Исх!$C$18-'2-ф2'!K14</f>
        <v>11796.124999999996</v>
      </c>
      <c r="L12" s="133">
        <f>K12+'1-Ф3'!L23/Исх!$C$18-'2-ф2'!L14</f>
        <v>11693.549999999996</v>
      </c>
      <c r="M12" s="133">
        <f>L12+'1-Ф3'!M23/Исх!$C$18-'2-ф2'!M14</f>
        <v>11590.974999999995</v>
      </c>
      <c r="N12" s="133">
        <f>M12+'1-Ф3'!N23/Исх!$C$18-'2-ф2'!N14</f>
        <v>11488.399999999994</v>
      </c>
      <c r="O12" s="133">
        <f>N12+'1-Ф3'!O23/Исх!$C$18-'2-ф2'!O14</f>
        <v>11385.824999999993</v>
      </c>
      <c r="P12" s="133">
        <f>O12</f>
        <v>11385.824999999993</v>
      </c>
      <c r="Q12" s="133">
        <f>P12+'1-Ф3'!Q23/Исх!$C$18-'2-ф2'!Q14</f>
        <v>11283.249999999993</v>
      </c>
      <c r="R12" s="133">
        <f>Q12+'1-Ф3'!R23/Исх!$C$18-'2-ф2'!R14</f>
        <v>11180.674999999992</v>
      </c>
      <c r="S12" s="133">
        <f>R12+'1-Ф3'!S23/Исх!$C$18-'2-ф2'!S14</f>
        <v>11078.099999999991</v>
      </c>
      <c r="T12" s="133">
        <f>S12+'1-Ф3'!T23/Исх!$C$18-'2-ф2'!T14</f>
        <v>10975.52499999999</v>
      </c>
      <c r="U12" s="133">
        <f>T12+'1-Ф3'!U23/Исх!$C$18-'2-ф2'!U14</f>
        <v>10872.94999999999</v>
      </c>
      <c r="V12" s="133">
        <f>U12+'1-Ф3'!V23/Исх!$C$18-'2-ф2'!V14</f>
        <v>10770.374999999989</v>
      </c>
      <c r="W12" s="133">
        <f>V12+'1-Ф3'!W23/Исх!$C$18-'2-ф2'!W14</f>
        <v>10667.799999999988</v>
      </c>
      <c r="X12" s="133">
        <f>W12+'1-Ф3'!X23/Исх!$C$18-'2-ф2'!X14</f>
        <v>10565.224999999988</v>
      </c>
      <c r="Y12" s="133">
        <f>X12+'1-Ф3'!Y23/Исх!$C$18-'2-ф2'!Y14</f>
        <v>10462.649999999987</v>
      </c>
      <c r="Z12" s="133">
        <f>Y12+'1-Ф3'!Z23/Исх!$C$18-'2-ф2'!Z14</f>
        <v>10360.074999999986</v>
      </c>
      <c r="AA12" s="133">
        <f>Z12+'1-Ф3'!AA23/Исх!$C$18-'2-ф2'!AA14</f>
        <v>10257.499999999985</v>
      </c>
      <c r="AB12" s="133">
        <f>AA12+'1-Ф3'!AB23/Исх!$C$18-'2-ф2'!AB14</f>
        <v>10154.924999999985</v>
      </c>
      <c r="AC12" s="133">
        <f>AB12</f>
        <v>10154.924999999985</v>
      </c>
      <c r="AD12" s="133">
        <f>AC12+'1-Ф3'!AP23/Исх!$C$18-'2-ф2'!AP14</f>
        <v>8924.024999999985</v>
      </c>
      <c r="AE12" s="133">
        <f>AD12+'1-Ф3'!BC23/Исх!$C$18-'2-ф2'!BC14</f>
        <v>7693.124999999985</v>
      </c>
      <c r="AF12" s="133">
        <f>AE12+'1-Ф3'!BP23/Исх!$C$18-'2-ф2'!BP14</f>
        <v>6462.224999999986</v>
      </c>
      <c r="AG12" s="133">
        <f>AF12+'1-Ф3'!CC23/Исх!$C$18-'2-ф2'!CC14</f>
        <v>5231.324999999986</v>
      </c>
      <c r="AH12" s="133">
        <f>AG12+'1-Ф3'!CP23/Исх!$C$18-'2-ф2'!CP14</f>
        <v>4000.424999999986</v>
      </c>
    </row>
    <row r="13" spans="1:34" ht="15" customHeight="1" hidden="1">
      <c r="A13" s="132" t="s">
        <v>132</v>
      </c>
      <c r="B13" s="134"/>
      <c r="C13" s="133"/>
      <c r="D13" s="133">
        <f>C13</f>
        <v>0</v>
      </c>
      <c r="E13" s="133">
        <f>D13</f>
        <v>0</v>
      </c>
      <c r="F13" s="133">
        <f aca="true" t="shared" si="7" ref="F13:AH14">E13</f>
        <v>0</v>
      </c>
      <c r="G13" s="133">
        <f t="shared" si="7"/>
        <v>0</v>
      </c>
      <c r="H13" s="133">
        <f t="shared" si="7"/>
        <v>0</v>
      </c>
      <c r="I13" s="133">
        <f t="shared" si="7"/>
        <v>0</v>
      </c>
      <c r="J13" s="133">
        <f t="shared" si="7"/>
        <v>0</v>
      </c>
      <c r="K13" s="133">
        <f t="shared" si="7"/>
        <v>0</v>
      </c>
      <c r="L13" s="133">
        <f t="shared" si="7"/>
        <v>0</v>
      </c>
      <c r="M13" s="133">
        <f t="shared" si="7"/>
        <v>0</v>
      </c>
      <c r="N13" s="133">
        <f t="shared" si="7"/>
        <v>0</v>
      </c>
      <c r="O13" s="133">
        <f t="shared" si="7"/>
        <v>0</v>
      </c>
      <c r="P13" s="133">
        <f t="shared" si="7"/>
        <v>0</v>
      </c>
      <c r="Q13" s="133">
        <f t="shared" si="7"/>
        <v>0</v>
      </c>
      <c r="R13" s="133">
        <f t="shared" si="7"/>
        <v>0</v>
      </c>
      <c r="S13" s="133">
        <f t="shared" si="7"/>
        <v>0</v>
      </c>
      <c r="T13" s="133">
        <f t="shared" si="7"/>
        <v>0</v>
      </c>
      <c r="U13" s="133">
        <f t="shared" si="7"/>
        <v>0</v>
      </c>
      <c r="V13" s="133">
        <f t="shared" si="7"/>
        <v>0</v>
      </c>
      <c r="W13" s="133">
        <f t="shared" si="7"/>
        <v>0</v>
      </c>
      <c r="X13" s="133">
        <f t="shared" si="7"/>
        <v>0</v>
      </c>
      <c r="Y13" s="133">
        <f t="shared" si="7"/>
        <v>0</v>
      </c>
      <c r="Z13" s="133">
        <f t="shared" si="7"/>
        <v>0</v>
      </c>
      <c r="AA13" s="133">
        <f t="shared" si="7"/>
        <v>0</v>
      </c>
      <c r="AB13" s="133">
        <f t="shared" si="7"/>
        <v>0</v>
      </c>
      <c r="AC13" s="133">
        <f t="shared" si="7"/>
        <v>0</v>
      </c>
      <c r="AD13" s="133">
        <f t="shared" si="7"/>
        <v>0</v>
      </c>
      <c r="AE13" s="133">
        <f t="shared" si="7"/>
        <v>0</v>
      </c>
      <c r="AF13" s="133">
        <f t="shared" si="7"/>
        <v>0</v>
      </c>
      <c r="AG13" s="133">
        <f t="shared" si="7"/>
        <v>0</v>
      </c>
      <c r="AH13" s="133">
        <f t="shared" si="7"/>
        <v>0</v>
      </c>
    </row>
    <row r="14" spans="1:34" ht="12.75">
      <c r="A14" s="132" t="s">
        <v>133</v>
      </c>
      <c r="B14" s="134"/>
      <c r="C14" s="133"/>
      <c r="D14" s="133">
        <f>IF('2-ф2'!D29&lt;0,-'2-ф2'!D29,0)</f>
        <v>0</v>
      </c>
      <c r="E14" s="133">
        <f>IF('2-ф2'!E29&lt;0,-'2-ф2'!E29,0)</f>
        <v>0</v>
      </c>
      <c r="F14" s="133">
        <f>IF('2-ф2'!F29&lt;0,-'2-ф2'!F29,0)</f>
        <v>0</v>
      </c>
      <c r="G14" s="133">
        <f>IF('2-ф2'!G29&lt;0,-'2-ф2'!G29,0)</f>
        <v>0</v>
      </c>
      <c r="H14" s="133">
        <f>IF('2-ф2'!H29&lt;0,-'2-ф2'!H29,0)</f>
        <v>0</v>
      </c>
      <c r="I14" s="133">
        <f>IF('2-ф2'!I29&lt;0,-'2-ф2'!I29,0)</f>
        <v>0</v>
      </c>
      <c r="J14" s="133">
        <f>IF('2-ф2'!J29&lt;0,-'2-ф2'!J29,0)</f>
        <v>0</v>
      </c>
      <c r="K14" s="133">
        <f>IF('2-ф2'!K29&lt;0,-'2-ф2'!K29,0)</f>
        <v>0</v>
      </c>
      <c r="L14" s="133">
        <f>IF('2-ф2'!L29&lt;0,-'2-ф2'!L29,0)</f>
        <v>0</v>
      </c>
      <c r="M14" s="133">
        <f>IF('2-ф2'!M29&lt;0,-'2-ф2'!M29,0)</f>
        <v>0</v>
      </c>
      <c r="N14" s="133">
        <f>IF('2-ф2'!N29&lt;0,-'2-ф2'!N29,0)</f>
        <v>0</v>
      </c>
      <c r="O14" s="133">
        <f>IF('2-ф2'!O29&lt;0,-'2-ф2'!O29,0)</f>
        <v>0</v>
      </c>
      <c r="P14" s="133">
        <f t="shared" si="7"/>
        <v>0</v>
      </c>
      <c r="Q14" s="133">
        <f>IF('2-ф2'!Q29&lt;0,-'2-ф2'!Q29,0)</f>
        <v>0</v>
      </c>
      <c r="R14" s="133">
        <f>IF('2-ф2'!R29&lt;0,-'2-ф2'!R29,0)</f>
        <v>0</v>
      </c>
      <c r="S14" s="133">
        <f>IF('2-ф2'!S29&lt;0,-'2-ф2'!S29,0)</f>
        <v>0</v>
      </c>
      <c r="T14" s="133">
        <f>IF('2-ф2'!T29&lt;0,-'2-ф2'!T29,0)</f>
        <v>0</v>
      </c>
      <c r="U14" s="133">
        <f>IF('2-ф2'!U29&lt;0,-'2-ф2'!U29,0)</f>
        <v>0</v>
      </c>
      <c r="V14" s="133">
        <f>IF('2-ф2'!V29&lt;0,-'2-ф2'!V29,0)</f>
        <v>0</v>
      </c>
      <c r="W14" s="133">
        <f>IF('2-ф2'!W29&lt;0,-'2-ф2'!W29,0)</f>
        <v>0</v>
      </c>
      <c r="X14" s="133">
        <f>IF('2-ф2'!X29&lt;0,-'2-ф2'!X29,0)</f>
        <v>0</v>
      </c>
      <c r="Y14" s="133">
        <f>IF('2-ф2'!Y29&lt;0,-'2-ф2'!Y29,0)</f>
        <v>0</v>
      </c>
      <c r="Z14" s="133">
        <f>IF('2-ф2'!Z29&lt;0,-'2-ф2'!Z29,0)</f>
        <v>0</v>
      </c>
      <c r="AA14" s="133">
        <f>IF('2-ф2'!AA29&lt;0,-'2-ф2'!AA29,0)</f>
        <v>0</v>
      </c>
      <c r="AB14" s="133">
        <f>IF('2-ф2'!AB29&lt;0,-'2-ф2'!AB29,0)</f>
        <v>0</v>
      </c>
      <c r="AC14" s="133">
        <f t="shared" si="7"/>
        <v>0</v>
      </c>
      <c r="AD14" s="133">
        <f>IF('2-ф2'!AP29&lt;0,-'2-ф2'!AP29,0)</f>
        <v>0</v>
      </c>
      <c r="AE14" s="133">
        <f>IF('2-ф2'!BC29&lt;0,-'2-ф2'!BC29,0)</f>
        <v>0</v>
      </c>
      <c r="AF14" s="133">
        <f>IF('2-ф2'!BP29&lt;0,-'2-ф2'!BP29,0)</f>
        <v>0</v>
      </c>
      <c r="AG14" s="133">
        <f>IF('2-ф2'!CC29&lt;0,-'2-ф2'!CC29,0)</f>
        <v>0</v>
      </c>
      <c r="AH14" s="133">
        <f>IF('2-ф2'!CP29&lt;0,-'2-ф2'!CP29,0)</f>
        <v>0</v>
      </c>
    </row>
    <row r="15" spans="1:183" ht="12.75">
      <c r="A15" s="135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</row>
    <row r="16" spans="1:41" s="131" customFormat="1" ht="15" customHeight="1">
      <c r="A16" s="127" t="s">
        <v>134</v>
      </c>
      <c r="B16" s="128"/>
      <c r="C16" s="128">
        <f aca="true" t="shared" si="8" ref="C16:AH16">C21+C24+C17</f>
        <v>0</v>
      </c>
      <c r="D16" s="128">
        <f t="shared" si="8"/>
        <v>0</v>
      </c>
      <c r="E16" s="128">
        <f t="shared" si="8"/>
        <v>0</v>
      </c>
      <c r="F16" s="128">
        <f t="shared" si="8"/>
        <v>4427.5</v>
      </c>
      <c r="G16" s="128">
        <f t="shared" si="8"/>
        <v>13448.425</v>
      </c>
      <c r="H16" s="128">
        <f t="shared" si="8"/>
        <v>14997.912699999999</v>
      </c>
      <c r="I16" s="128">
        <f t="shared" si="8"/>
        <v>14832.2108</v>
      </c>
      <c r="J16" s="128">
        <f t="shared" si="8"/>
        <v>14357.91355289855</v>
      </c>
      <c r="K16" s="128">
        <f t="shared" si="8"/>
        <v>13990.252713768115</v>
      </c>
      <c r="L16" s="128">
        <f t="shared" si="8"/>
        <v>13624.417882608695</v>
      </c>
      <c r="M16" s="128">
        <f t="shared" si="8"/>
        <v>13365.219459420288</v>
      </c>
      <c r="N16" s="128">
        <f t="shared" si="8"/>
        <v>13107.847044202897</v>
      </c>
      <c r="O16" s="128">
        <f t="shared" si="8"/>
        <v>12852.30063695652</v>
      </c>
      <c r="P16" s="128">
        <f t="shared" si="8"/>
        <v>12852.30063695652</v>
      </c>
      <c r="Q16" s="128">
        <f t="shared" si="8"/>
        <v>12673.487687681158</v>
      </c>
      <c r="R16" s="128">
        <f t="shared" si="8"/>
        <v>12496.500746376809</v>
      </c>
      <c r="S16" s="128">
        <f t="shared" si="8"/>
        <v>12321.339813043476</v>
      </c>
      <c r="T16" s="128">
        <f t="shared" si="8"/>
        <v>12252.815287681156</v>
      </c>
      <c r="U16" s="128">
        <f t="shared" si="8"/>
        <v>12186.116770289853</v>
      </c>
      <c r="V16" s="128">
        <f t="shared" si="8"/>
        <v>12121.244260869562</v>
      </c>
      <c r="W16" s="128">
        <f t="shared" si="8"/>
        <v>12163.008159420286</v>
      </c>
      <c r="X16" s="128">
        <f t="shared" si="8"/>
        <v>12206.598065942024</v>
      </c>
      <c r="Y16" s="128">
        <f t="shared" si="8"/>
        <v>12252.013980434778</v>
      </c>
      <c r="Z16" s="128">
        <f t="shared" si="8"/>
        <v>12404.066302898545</v>
      </c>
      <c r="AA16" s="128">
        <f t="shared" si="8"/>
        <v>12557.944633333329</v>
      </c>
      <c r="AB16" s="128">
        <f t="shared" si="8"/>
        <v>12713.648971739125</v>
      </c>
      <c r="AC16" s="128">
        <f t="shared" si="8"/>
        <v>12713.648971739125</v>
      </c>
      <c r="AD16" s="128">
        <f t="shared" si="8"/>
        <v>14604.917854347821</v>
      </c>
      <c r="AE16" s="128">
        <f t="shared" si="8"/>
        <v>17937.115484782604</v>
      </c>
      <c r="AF16" s="128">
        <f t="shared" si="8"/>
        <v>22710.24186304347</v>
      </c>
      <c r="AG16" s="128">
        <f t="shared" si="8"/>
        <v>28924.296989130442</v>
      </c>
      <c r="AH16" s="128">
        <f t="shared" si="8"/>
        <v>36978.96815000002</v>
      </c>
      <c r="AI16" s="130"/>
      <c r="AJ16" s="130"/>
      <c r="AK16" s="130"/>
      <c r="AL16" s="130"/>
      <c r="AM16" s="130"/>
      <c r="AN16" s="130"/>
      <c r="AO16" s="130"/>
    </row>
    <row r="17" spans="1:34" ht="15" customHeight="1">
      <c r="A17" s="127" t="s">
        <v>135</v>
      </c>
      <c r="B17" s="128"/>
      <c r="C17" s="128">
        <f aca="true" t="shared" si="9" ref="C17:AH17">SUM(C18:C20)</f>
        <v>0</v>
      </c>
      <c r="D17" s="128">
        <f t="shared" si="9"/>
        <v>0</v>
      </c>
      <c r="E17" s="128">
        <f t="shared" si="9"/>
        <v>0</v>
      </c>
      <c r="F17" s="128">
        <f t="shared" si="9"/>
        <v>0</v>
      </c>
      <c r="G17" s="128">
        <f t="shared" si="9"/>
        <v>44.275</v>
      </c>
      <c r="H17" s="128">
        <f t="shared" si="9"/>
        <v>167.36499999999998</v>
      </c>
      <c r="I17" s="128">
        <f t="shared" si="9"/>
        <v>0</v>
      </c>
      <c r="J17" s="128">
        <f t="shared" si="9"/>
        <v>0</v>
      </c>
      <c r="K17" s="128">
        <f t="shared" si="9"/>
        <v>0</v>
      </c>
      <c r="L17" s="128">
        <f t="shared" si="9"/>
        <v>0</v>
      </c>
      <c r="M17" s="128">
        <f t="shared" si="9"/>
        <v>0</v>
      </c>
      <c r="N17" s="128">
        <f t="shared" si="9"/>
        <v>0</v>
      </c>
      <c r="O17" s="128">
        <f t="shared" si="9"/>
        <v>0</v>
      </c>
      <c r="P17" s="128">
        <f t="shared" si="9"/>
        <v>0</v>
      </c>
      <c r="Q17" s="128">
        <f t="shared" si="9"/>
        <v>0</v>
      </c>
      <c r="R17" s="128">
        <f t="shared" si="9"/>
        <v>0</v>
      </c>
      <c r="S17" s="128">
        <f t="shared" si="9"/>
        <v>0</v>
      </c>
      <c r="T17" s="128">
        <f t="shared" si="9"/>
        <v>0</v>
      </c>
      <c r="U17" s="128">
        <f t="shared" si="9"/>
        <v>0</v>
      </c>
      <c r="V17" s="128">
        <f t="shared" si="9"/>
        <v>0</v>
      </c>
      <c r="W17" s="128">
        <f t="shared" si="9"/>
        <v>0</v>
      </c>
      <c r="X17" s="128">
        <f t="shared" si="9"/>
        <v>0</v>
      </c>
      <c r="Y17" s="128">
        <f t="shared" si="9"/>
        <v>0</v>
      </c>
      <c r="Z17" s="128">
        <f t="shared" si="9"/>
        <v>0</v>
      </c>
      <c r="AA17" s="128">
        <f t="shared" si="9"/>
        <v>0</v>
      </c>
      <c r="AB17" s="128">
        <f t="shared" si="9"/>
        <v>0</v>
      </c>
      <c r="AC17" s="128">
        <f t="shared" si="9"/>
        <v>0</v>
      </c>
      <c r="AD17" s="128">
        <f t="shared" si="9"/>
        <v>0</v>
      </c>
      <c r="AE17" s="128">
        <f t="shared" si="9"/>
        <v>0</v>
      </c>
      <c r="AF17" s="128">
        <f t="shared" si="9"/>
        <v>0</v>
      </c>
      <c r="AG17" s="128">
        <f t="shared" si="9"/>
        <v>0</v>
      </c>
      <c r="AH17" s="128">
        <f t="shared" si="9"/>
        <v>0</v>
      </c>
    </row>
    <row r="18" spans="1:34" ht="12.75" hidden="1">
      <c r="A18" s="132" t="s">
        <v>136</v>
      </c>
      <c r="B18" s="134"/>
      <c r="C18" s="134"/>
      <c r="D18" s="134">
        <f>C18</f>
        <v>0</v>
      </c>
      <c r="E18" s="134">
        <f>D18</f>
        <v>0</v>
      </c>
      <c r="F18" s="134">
        <f aca="true" t="shared" si="10" ref="F18:O18">E18</f>
        <v>0</v>
      </c>
      <c r="G18" s="134">
        <f t="shared" si="10"/>
        <v>0</v>
      </c>
      <c r="H18" s="134">
        <f t="shared" si="10"/>
        <v>0</v>
      </c>
      <c r="I18" s="134">
        <f t="shared" si="10"/>
        <v>0</v>
      </c>
      <c r="J18" s="134">
        <f t="shared" si="10"/>
        <v>0</v>
      </c>
      <c r="K18" s="134">
        <f t="shared" si="10"/>
        <v>0</v>
      </c>
      <c r="L18" s="134">
        <f t="shared" si="10"/>
        <v>0</v>
      </c>
      <c r="M18" s="134">
        <f t="shared" si="10"/>
        <v>0</v>
      </c>
      <c r="N18" s="134">
        <f t="shared" si="10"/>
        <v>0</v>
      </c>
      <c r="O18" s="134">
        <f t="shared" si="10"/>
        <v>0</v>
      </c>
      <c r="P18" s="134">
        <f>O18</f>
        <v>0</v>
      </c>
      <c r="Q18" s="134">
        <f>P18</f>
        <v>0</v>
      </c>
      <c r="R18" s="134">
        <f>Q18</f>
        <v>0</v>
      </c>
      <c r="S18" s="134">
        <f>R18</f>
        <v>0</v>
      </c>
      <c r="T18" s="134">
        <f>S18</f>
        <v>0</v>
      </c>
      <c r="U18" s="134">
        <f aca="true" t="shared" si="11" ref="U18:AF18">T18</f>
        <v>0</v>
      </c>
      <c r="V18" s="134">
        <f t="shared" si="11"/>
        <v>0</v>
      </c>
      <c r="W18" s="134">
        <f t="shared" si="11"/>
        <v>0</v>
      </c>
      <c r="X18" s="134">
        <f t="shared" si="11"/>
        <v>0</v>
      </c>
      <c r="Y18" s="134">
        <f t="shared" si="11"/>
        <v>0</v>
      </c>
      <c r="Z18" s="134">
        <f t="shared" si="11"/>
        <v>0</v>
      </c>
      <c r="AA18" s="134">
        <f t="shared" si="11"/>
        <v>0</v>
      </c>
      <c r="AB18" s="134">
        <f t="shared" si="11"/>
        <v>0</v>
      </c>
      <c r="AC18" s="134">
        <f t="shared" si="11"/>
        <v>0</v>
      </c>
      <c r="AD18" s="134">
        <f t="shared" si="11"/>
        <v>0</v>
      </c>
      <c r="AE18" s="134">
        <f t="shared" si="11"/>
        <v>0</v>
      </c>
      <c r="AF18" s="134">
        <f t="shared" si="11"/>
        <v>0</v>
      </c>
      <c r="AG18" s="134">
        <f>AF18</f>
        <v>0</v>
      </c>
      <c r="AH18" s="134">
        <f>AG18</f>
        <v>0</v>
      </c>
    </row>
    <row r="19" spans="1:35" ht="25.5">
      <c r="A19" s="132" t="s">
        <v>137</v>
      </c>
      <c r="B19" s="134"/>
      <c r="C19" s="134"/>
      <c r="D19" s="134">
        <f>C19+'2-ф2'!D15-'1-Ф3'!D17-кр!C8</f>
        <v>0</v>
      </c>
      <c r="E19" s="134">
        <f>D19+'2-ф2'!E15-'1-Ф3'!E17-кр!D8</f>
        <v>0</v>
      </c>
      <c r="F19" s="134">
        <f>E19+'2-ф2'!F15-'1-Ф3'!F17-кр!E8</f>
        <v>0</v>
      </c>
      <c r="G19" s="134">
        <f>F19+'2-ф2'!G15-'1-Ф3'!G17-кр!F8</f>
        <v>44.275</v>
      </c>
      <c r="H19" s="134">
        <f>G19+'2-ф2'!H15-'1-Ф3'!H17-кр!G8</f>
        <v>167.36499999999998</v>
      </c>
      <c r="I19" s="134">
        <f>H19+'2-ф2'!I15-'1-Ф3'!I17-кр!H8</f>
        <v>0</v>
      </c>
      <c r="J19" s="134">
        <f>I19+'2-ф2'!J15-'1-Ф3'!J17-кр!I8</f>
        <v>0</v>
      </c>
      <c r="K19" s="134">
        <f>J19+'2-ф2'!K15-'1-Ф3'!K17-кр!J8</f>
        <v>0</v>
      </c>
      <c r="L19" s="134">
        <f>K19+'2-ф2'!L15-'1-Ф3'!L17-кр!K8</f>
        <v>0</v>
      </c>
      <c r="M19" s="134">
        <f>L19+'2-ф2'!M15-'1-Ф3'!M17-кр!L8</f>
        <v>0</v>
      </c>
      <c r="N19" s="134">
        <f>M19+'2-ф2'!N15-'1-Ф3'!N17-кр!M8</f>
        <v>0</v>
      </c>
      <c r="O19" s="134">
        <f>N19+'2-ф2'!O15-'1-Ф3'!O17-кр!N8</f>
        <v>0</v>
      </c>
      <c r="P19" s="134">
        <f>O19</f>
        <v>0</v>
      </c>
      <c r="Q19" s="134">
        <f>P19+'2-ф2'!Q15-'1-Ф3'!Q17</f>
        <v>0</v>
      </c>
      <c r="R19" s="134">
        <f>Q19+'2-ф2'!R15-'1-Ф3'!R17</f>
        <v>0</v>
      </c>
      <c r="S19" s="134">
        <f>R19+'2-ф2'!S15-'1-Ф3'!S17</f>
        <v>0</v>
      </c>
      <c r="T19" s="134">
        <f>S19+'2-ф2'!T15-'1-Ф3'!T17</f>
        <v>0</v>
      </c>
      <c r="U19" s="134">
        <f>T19+'2-ф2'!U15-'1-Ф3'!U17</f>
        <v>0</v>
      </c>
      <c r="V19" s="134">
        <f>U19+'2-ф2'!V15-'1-Ф3'!V17</f>
        <v>0</v>
      </c>
      <c r="W19" s="134">
        <f>V19+'2-ф2'!W15-'1-Ф3'!W17</f>
        <v>0</v>
      </c>
      <c r="X19" s="134">
        <f>W19+'2-ф2'!X15-'1-Ф3'!X17</f>
        <v>0</v>
      </c>
      <c r="Y19" s="134">
        <f>X19+'2-ф2'!Y15-'1-Ф3'!Y17</f>
        <v>0</v>
      </c>
      <c r="Z19" s="134">
        <f>Y19+'2-ф2'!Z15-'1-Ф3'!Z17</f>
        <v>0</v>
      </c>
      <c r="AA19" s="134">
        <f>Z19+'2-ф2'!AA15-'1-Ф3'!AA17</f>
        <v>0</v>
      </c>
      <c r="AB19" s="134">
        <f>AA19+'2-ф2'!AB15-'1-Ф3'!AB17</f>
        <v>0</v>
      </c>
      <c r="AC19" s="134">
        <f>AB19</f>
        <v>0</v>
      </c>
      <c r="AD19" s="134">
        <f>AC19+'2-ф2'!AP15-'1-Ф3'!AP17</f>
        <v>0</v>
      </c>
      <c r="AE19" s="134">
        <f>AD19+'2-ф2'!BC15-'1-Ф3'!BC17</f>
        <v>0</v>
      </c>
      <c r="AF19" s="134">
        <f>AE19+'2-ф2'!BP15-'1-Ф3'!BP17</f>
        <v>0</v>
      </c>
      <c r="AG19" s="134">
        <f>AF19+'2-ф2'!CC15-'1-Ф3'!CC17</f>
        <v>0</v>
      </c>
      <c r="AH19" s="134">
        <f>AG19+'2-ф2'!CP15-'1-Ф3'!CP17</f>
        <v>0</v>
      </c>
      <c r="AI19" s="121"/>
    </row>
    <row r="20" spans="1:34" ht="12.75">
      <c r="A20" s="132" t="s">
        <v>139</v>
      </c>
      <c r="B20" s="134"/>
      <c r="C20" s="134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34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34">
        <f>AB20</f>
        <v>0</v>
      </c>
      <c r="AD20" s="134"/>
      <c r="AE20" s="134"/>
      <c r="AF20" s="134"/>
      <c r="AG20" s="134"/>
      <c r="AH20" s="134"/>
    </row>
    <row r="21" spans="1:34" ht="15" customHeight="1">
      <c r="A21" s="127" t="s">
        <v>140</v>
      </c>
      <c r="B21" s="128"/>
      <c r="C21" s="128">
        <f aca="true" t="shared" si="12" ref="C21:AH21">SUM(C22:C23)</f>
        <v>0</v>
      </c>
      <c r="D21" s="128">
        <f t="shared" si="12"/>
        <v>0</v>
      </c>
      <c r="E21" s="128">
        <f t="shared" si="12"/>
        <v>0</v>
      </c>
      <c r="F21" s="128">
        <f t="shared" si="12"/>
        <v>4427.5</v>
      </c>
      <c r="G21" s="128">
        <f t="shared" si="12"/>
        <v>12309</v>
      </c>
      <c r="H21" s="128">
        <f t="shared" si="12"/>
        <v>12309</v>
      </c>
      <c r="I21" s="128">
        <f t="shared" si="12"/>
        <v>12599.455</v>
      </c>
      <c r="J21" s="128">
        <f t="shared" si="12"/>
        <v>12416.85420289855</v>
      </c>
      <c r="K21" s="128">
        <f t="shared" si="12"/>
        <v>12234.2534057971</v>
      </c>
      <c r="L21" s="128">
        <f t="shared" si="12"/>
        <v>12051.652608695651</v>
      </c>
      <c r="M21" s="128">
        <f t="shared" si="12"/>
        <v>11869.051811594201</v>
      </c>
      <c r="N21" s="128">
        <f t="shared" si="12"/>
        <v>11686.451014492752</v>
      </c>
      <c r="O21" s="128">
        <f t="shared" si="12"/>
        <v>11503.850217391302</v>
      </c>
      <c r="P21" s="128">
        <f t="shared" si="12"/>
        <v>11503.850217391302</v>
      </c>
      <c r="Q21" s="128">
        <f t="shared" si="12"/>
        <v>11321.249420289852</v>
      </c>
      <c r="R21" s="128">
        <f t="shared" si="12"/>
        <v>11138.648623188403</v>
      </c>
      <c r="S21" s="128">
        <f t="shared" si="12"/>
        <v>10956.047826086953</v>
      </c>
      <c r="T21" s="128">
        <f t="shared" si="12"/>
        <v>10773.447028985503</v>
      </c>
      <c r="U21" s="128">
        <f t="shared" si="12"/>
        <v>10590.846231884054</v>
      </c>
      <c r="V21" s="128">
        <f t="shared" si="12"/>
        <v>10408.245434782604</v>
      </c>
      <c r="W21" s="128">
        <f t="shared" si="12"/>
        <v>10225.644637681155</v>
      </c>
      <c r="X21" s="128">
        <f t="shared" si="12"/>
        <v>10043.043840579705</v>
      </c>
      <c r="Y21" s="128">
        <f t="shared" si="12"/>
        <v>9860.443043478255</v>
      </c>
      <c r="Z21" s="128">
        <f t="shared" si="12"/>
        <v>9677.842246376806</v>
      </c>
      <c r="AA21" s="128">
        <f t="shared" si="12"/>
        <v>9495.241449275356</v>
      </c>
      <c r="AB21" s="128">
        <f t="shared" si="12"/>
        <v>9312.640652173906</v>
      </c>
      <c r="AC21" s="128">
        <f t="shared" si="12"/>
        <v>9312.640652173906</v>
      </c>
      <c r="AD21" s="128">
        <f t="shared" si="12"/>
        <v>7121.431086956511</v>
      </c>
      <c r="AE21" s="128">
        <f t="shared" si="12"/>
        <v>4930.221521739115</v>
      </c>
      <c r="AF21" s="128">
        <f t="shared" si="12"/>
        <v>2739.011956521723</v>
      </c>
      <c r="AG21" s="128">
        <f t="shared" si="12"/>
        <v>547.8023913043322</v>
      </c>
      <c r="AH21" s="128">
        <f t="shared" si="12"/>
        <v>-1.5631940186722204E-11</v>
      </c>
    </row>
    <row r="22" spans="1:34" ht="12.75">
      <c r="A22" s="132" t="s">
        <v>138</v>
      </c>
      <c r="B22" s="134"/>
      <c r="C22" s="128"/>
      <c r="D22" s="134">
        <f>кр!C12</f>
        <v>0</v>
      </c>
      <c r="E22" s="134">
        <f>кр!D12</f>
        <v>0</v>
      </c>
      <c r="F22" s="134">
        <f>кр!E12</f>
        <v>4427.5</v>
      </c>
      <c r="G22" s="134">
        <f>кр!F12</f>
        <v>12309</v>
      </c>
      <c r="H22" s="134">
        <f>кр!G12</f>
        <v>12309</v>
      </c>
      <c r="I22" s="134">
        <f>кр!H12</f>
        <v>12599.455</v>
      </c>
      <c r="J22" s="134">
        <f>кр!I12</f>
        <v>12416.85420289855</v>
      </c>
      <c r="K22" s="134">
        <f>кр!J12</f>
        <v>12234.2534057971</v>
      </c>
      <c r="L22" s="134">
        <f>кр!K12</f>
        <v>12051.652608695651</v>
      </c>
      <c r="M22" s="134">
        <f>кр!L12</f>
        <v>11869.051811594201</v>
      </c>
      <c r="N22" s="134">
        <f>кр!M12</f>
        <v>11686.451014492752</v>
      </c>
      <c r="O22" s="134">
        <f>кр!N12</f>
        <v>11503.850217391302</v>
      </c>
      <c r="P22" s="134">
        <f>кр!O12</f>
        <v>11503.850217391302</v>
      </c>
      <c r="Q22" s="134">
        <f>кр!P12</f>
        <v>11321.249420289852</v>
      </c>
      <c r="R22" s="134">
        <f>кр!Q12</f>
        <v>11138.648623188403</v>
      </c>
      <c r="S22" s="134">
        <f>кр!R12</f>
        <v>10956.047826086953</v>
      </c>
      <c r="T22" s="134">
        <f>кр!S12</f>
        <v>10773.447028985503</v>
      </c>
      <c r="U22" s="134">
        <f>кр!T12</f>
        <v>10590.846231884054</v>
      </c>
      <c r="V22" s="134">
        <f>кр!U12</f>
        <v>10408.245434782604</v>
      </c>
      <c r="W22" s="134">
        <f>кр!V12</f>
        <v>10225.644637681155</v>
      </c>
      <c r="X22" s="134">
        <f>кр!W12</f>
        <v>10043.043840579705</v>
      </c>
      <c r="Y22" s="134">
        <f>кр!X12</f>
        <v>9860.443043478255</v>
      </c>
      <c r="Z22" s="134">
        <f>кр!Y12</f>
        <v>9677.842246376806</v>
      </c>
      <c r="AA22" s="134">
        <f>кр!Z12</f>
        <v>9495.241449275356</v>
      </c>
      <c r="AB22" s="134">
        <f>кр!AA12</f>
        <v>9312.640652173906</v>
      </c>
      <c r="AC22" s="134">
        <f>кр!AB12</f>
        <v>9312.640652173906</v>
      </c>
      <c r="AD22" s="134">
        <f>кр!AO12</f>
        <v>7121.431086956511</v>
      </c>
      <c r="AE22" s="134">
        <f>кр!BB12</f>
        <v>4930.221521739115</v>
      </c>
      <c r="AF22" s="134">
        <f>кр!BO12</f>
        <v>2739.011956521723</v>
      </c>
      <c r="AG22" s="134">
        <f>кр!CB12</f>
        <v>547.8023913043322</v>
      </c>
      <c r="AH22" s="134">
        <f>кр!CO12</f>
        <v>-1.5631940186722204E-11</v>
      </c>
    </row>
    <row r="23" spans="1:34" ht="15" customHeight="1" hidden="1">
      <c r="A23" s="132" t="s">
        <v>141</v>
      </c>
      <c r="B23" s="134"/>
      <c r="C23" s="134"/>
      <c r="D23" s="134">
        <f>C23</f>
        <v>0</v>
      </c>
      <c r="E23" s="134">
        <f>D23</f>
        <v>0</v>
      </c>
      <c r="F23" s="134">
        <f aca="true" t="shared" si="13" ref="F23:AH23">E23</f>
        <v>0</v>
      </c>
      <c r="G23" s="134">
        <f t="shared" si="13"/>
        <v>0</v>
      </c>
      <c r="H23" s="134">
        <f t="shared" si="13"/>
        <v>0</v>
      </c>
      <c r="I23" s="134">
        <f t="shared" si="13"/>
        <v>0</v>
      </c>
      <c r="J23" s="134">
        <f t="shared" si="13"/>
        <v>0</v>
      </c>
      <c r="K23" s="134">
        <f t="shared" si="13"/>
        <v>0</v>
      </c>
      <c r="L23" s="134">
        <f t="shared" si="13"/>
        <v>0</v>
      </c>
      <c r="M23" s="134">
        <f t="shared" si="13"/>
        <v>0</v>
      </c>
      <c r="N23" s="134">
        <f t="shared" si="13"/>
        <v>0</v>
      </c>
      <c r="O23" s="134">
        <f t="shared" si="13"/>
        <v>0</v>
      </c>
      <c r="P23" s="134">
        <f t="shared" si="13"/>
        <v>0</v>
      </c>
      <c r="Q23" s="134">
        <f t="shared" si="13"/>
        <v>0</v>
      </c>
      <c r="R23" s="134">
        <f t="shared" si="13"/>
        <v>0</v>
      </c>
      <c r="S23" s="134">
        <f t="shared" si="13"/>
        <v>0</v>
      </c>
      <c r="T23" s="134">
        <f t="shared" si="13"/>
        <v>0</v>
      </c>
      <c r="U23" s="134">
        <f t="shared" si="13"/>
        <v>0</v>
      </c>
      <c r="V23" s="134">
        <f t="shared" si="13"/>
        <v>0</v>
      </c>
      <c r="W23" s="134">
        <f t="shared" si="13"/>
        <v>0</v>
      </c>
      <c r="X23" s="134">
        <f t="shared" si="13"/>
        <v>0</v>
      </c>
      <c r="Y23" s="134">
        <f t="shared" si="13"/>
        <v>0</v>
      </c>
      <c r="Z23" s="134">
        <f t="shared" si="13"/>
        <v>0</v>
      </c>
      <c r="AA23" s="134">
        <f t="shared" si="13"/>
        <v>0</v>
      </c>
      <c r="AB23" s="134">
        <f t="shared" si="13"/>
        <v>0</v>
      </c>
      <c r="AC23" s="128">
        <f>AB23</f>
        <v>0</v>
      </c>
      <c r="AD23" s="134">
        <f t="shared" si="13"/>
        <v>0</v>
      </c>
      <c r="AE23" s="134">
        <f t="shared" si="13"/>
        <v>0</v>
      </c>
      <c r="AF23" s="134">
        <f t="shared" si="13"/>
        <v>0</v>
      </c>
      <c r="AG23" s="134">
        <f t="shared" si="13"/>
        <v>0</v>
      </c>
      <c r="AH23" s="134">
        <f t="shared" si="13"/>
        <v>0</v>
      </c>
    </row>
    <row r="24" spans="1:34" s="131" customFormat="1" ht="15" customHeight="1">
      <c r="A24" s="127" t="s">
        <v>142</v>
      </c>
      <c r="B24" s="128"/>
      <c r="C24" s="128">
        <f aca="true" t="shared" si="14" ref="C24:AH24">SUM(C25:C26)</f>
        <v>0</v>
      </c>
      <c r="D24" s="128">
        <f t="shared" si="14"/>
        <v>0</v>
      </c>
      <c r="E24" s="128">
        <f t="shared" si="14"/>
        <v>0</v>
      </c>
      <c r="F24" s="128">
        <f t="shared" si="14"/>
        <v>0</v>
      </c>
      <c r="G24" s="128">
        <f t="shared" si="14"/>
        <v>1095.15</v>
      </c>
      <c r="H24" s="128">
        <f t="shared" si="14"/>
        <v>2521.5477</v>
      </c>
      <c r="I24" s="128">
        <f t="shared" si="14"/>
        <v>2232.7558</v>
      </c>
      <c r="J24" s="128">
        <f t="shared" si="14"/>
        <v>1941.05935</v>
      </c>
      <c r="K24" s="128">
        <f t="shared" si="14"/>
        <v>1755.9993079710148</v>
      </c>
      <c r="L24" s="128">
        <f t="shared" si="14"/>
        <v>1572.765273913044</v>
      </c>
      <c r="M24" s="128">
        <f t="shared" si="14"/>
        <v>1496.1676478260874</v>
      </c>
      <c r="N24" s="128">
        <f t="shared" si="14"/>
        <v>1421.3960297101453</v>
      </c>
      <c r="O24" s="128">
        <f t="shared" si="14"/>
        <v>1348.450419565218</v>
      </c>
      <c r="P24" s="128">
        <f t="shared" si="14"/>
        <v>1348.450419565218</v>
      </c>
      <c r="Q24" s="128">
        <f t="shared" si="14"/>
        <v>1352.2382673913053</v>
      </c>
      <c r="R24" s="128">
        <f t="shared" si="14"/>
        <v>1357.852123188407</v>
      </c>
      <c r="S24" s="128">
        <f t="shared" si="14"/>
        <v>1365.291986956523</v>
      </c>
      <c r="T24" s="128">
        <f t="shared" si="14"/>
        <v>1479.3682586956534</v>
      </c>
      <c r="U24" s="128">
        <f t="shared" si="14"/>
        <v>1595.2705384057986</v>
      </c>
      <c r="V24" s="128">
        <f t="shared" si="14"/>
        <v>1712.9988260869582</v>
      </c>
      <c r="W24" s="128">
        <f t="shared" si="14"/>
        <v>1937.3635217391318</v>
      </c>
      <c r="X24" s="128">
        <f t="shared" si="14"/>
        <v>2163.55422536232</v>
      </c>
      <c r="Y24" s="128">
        <f t="shared" si="14"/>
        <v>2391.570936956523</v>
      </c>
      <c r="Z24" s="128">
        <f t="shared" si="14"/>
        <v>2726.22405652174</v>
      </c>
      <c r="AA24" s="128">
        <f t="shared" si="14"/>
        <v>3062.703184057972</v>
      </c>
      <c r="AB24" s="128">
        <f t="shared" si="14"/>
        <v>3401.0083195652182</v>
      </c>
      <c r="AC24" s="128">
        <f t="shared" si="14"/>
        <v>3401.0083195652182</v>
      </c>
      <c r="AD24" s="128">
        <f t="shared" si="14"/>
        <v>7483.48676739131</v>
      </c>
      <c r="AE24" s="128">
        <f t="shared" si="14"/>
        <v>13006.893963043487</v>
      </c>
      <c r="AF24" s="128">
        <f t="shared" si="14"/>
        <v>19971.22990652175</v>
      </c>
      <c r="AG24" s="128">
        <f t="shared" si="14"/>
        <v>28376.49459782611</v>
      </c>
      <c r="AH24" s="128">
        <f t="shared" si="14"/>
        <v>36978.96815000004</v>
      </c>
    </row>
    <row r="25" spans="1:34" ht="15" customHeight="1">
      <c r="A25" s="132" t="s">
        <v>143</v>
      </c>
      <c r="B25" s="128"/>
      <c r="C25" s="134"/>
      <c r="D25" s="134">
        <f>C25+'1-Ф3'!D30</f>
        <v>0</v>
      </c>
      <c r="E25" s="134">
        <f>D25+'1-Ф3'!E30</f>
        <v>0</v>
      </c>
      <c r="F25" s="134">
        <f>E25+'1-Ф3'!F30</f>
        <v>0</v>
      </c>
      <c r="G25" s="134">
        <f>F25+'1-Ф3'!G30</f>
        <v>2038.7997</v>
      </c>
      <c r="H25" s="134">
        <f>G25+'1-Ф3'!H30</f>
        <v>3858.7997</v>
      </c>
      <c r="I25" s="134">
        <f>H25+'1-Ф3'!I30</f>
        <v>3858.7997</v>
      </c>
      <c r="J25" s="134">
        <f>I25+'1-Ф3'!J30</f>
        <v>3858.7997</v>
      </c>
      <c r="K25" s="134">
        <f>J25+'1-Ф3'!K30</f>
        <v>3858.7997</v>
      </c>
      <c r="L25" s="134">
        <f>K25+'1-Ф3'!L30</f>
        <v>3858.7997</v>
      </c>
      <c r="M25" s="134">
        <f>L25+'1-Ф3'!M30</f>
        <v>3858.7997</v>
      </c>
      <c r="N25" s="134">
        <f>M25+'1-Ф3'!N30</f>
        <v>3858.7997</v>
      </c>
      <c r="O25" s="134">
        <f>N25+'1-Ф3'!O30</f>
        <v>3858.7997</v>
      </c>
      <c r="P25" s="134">
        <f>O25</f>
        <v>3858.7997</v>
      </c>
      <c r="Q25" s="134">
        <f>P25+'1-Ф3'!Q30</f>
        <v>3858.7997</v>
      </c>
      <c r="R25" s="134">
        <f>Q25+'1-Ф3'!R30</f>
        <v>3858.7997</v>
      </c>
      <c r="S25" s="134">
        <f>R25+'1-Ф3'!S30</f>
        <v>3858.7997</v>
      </c>
      <c r="T25" s="134">
        <f>S25+'1-Ф3'!T30</f>
        <v>3858.7997</v>
      </c>
      <c r="U25" s="134">
        <f>T25+'1-Ф3'!U30</f>
        <v>3858.7997</v>
      </c>
      <c r="V25" s="134">
        <f>U25+'1-Ф3'!V30</f>
        <v>3858.7997</v>
      </c>
      <c r="W25" s="134">
        <f>V25+'1-Ф3'!W30</f>
        <v>3858.7997</v>
      </c>
      <c r="X25" s="134">
        <f>W25+'1-Ф3'!X30</f>
        <v>3858.7997</v>
      </c>
      <c r="Y25" s="134">
        <f>X25+'1-Ф3'!Y30</f>
        <v>3858.7997</v>
      </c>
      <c r="Z25" s="134">
        <f>Y25+'1-Ф3'!Z30</f>
        <v>3858.7997</v>
      </c>
      <c r="AA25" s="134">
        <f>Z25+'1-Ф3'!AA30</f>
        <v>3858.7997</v>
      </c>
      <c r="AB25" s="134">
        <f>AA25+'1-Ф3'!AB30</f>
        <v>3858.7997</v>
      </c>
      <c r="AC25" s="134">
        <f>AB25</f>
        <v>3858.7997</v>
      </c>
      <c r="AD25" s="134">
        <f>AC25+'1-Ф3'!AP30</f>
        <v>3858.7997</v>
      </c>
      <c r="AE25" s="134">
        <f>AD25+'1-Ф3'!BP30</f>
        <v>3858.7997</v>
      </c>
      <c r="AF25" s="134">
        <f>AE25+'1-Ф3'!CC30</f>
        <v>3858.7997</v>
      </c>
      <c r="AG25" s="134">
        <f>AF25+'1-Ф3'!CP30</f>
        <v>3858.7997</v>
      </c>
      <c r="AH25" s="134">
        <f>AG25</f>
        <v>3858.7997</v>
      </c>
    </row>
    <row r="26" spans="1:34" ht="15" customHeight="1">
      <c r="A26" s="132" t="s">
        <v>144</v>
      </c>
      <c r="B26" s="128"/>
      <c r="C26" s="134"/>
      <c r="D26" s="134">
        <f>'2-ф2'!D19</f>
        <v>0</v>
      </c>
      <c r="E26" s="134">
        <f>'2-ф2'!E19</f>
        <v>0</v>
      </c>
      <c r="F26" s="134">
        <f>'2-ф2'!F19</f>
        <v>0</v>
      </c>
      <c r="G26" s="134">
        <f>'2-ф2'!G19</f>
        <v>-943.6497</v>
      </c>
      <c r="H26" s="134">
        <f>'2-ф2'!H19</f>
        <v>-1337.2520000000002</v>
      </c>
      <c r="I26" s="134">
        <f>'2-ф2'!I19</f>
        <v>-1626.0439000000001</v>
      </c>
      <c r="J26" s="134">
        <f>'2-ф2'!J19</f>
        <v>-1917.74035</v>
      </c>
      <c r="K26" s="134">
        <f>'2-ф2'!K19</f>
        <v>-2102.8003920289852</v>
      </c>
      <c r="L26" s="134">
        <f>'2-ф2'!L19</f>
        <v>-2286.034426086956</v>
      </c>
      <c r="M26" s="134">
        <f>'2-ф2'!M19</f>
        <v>-2362.6320521739126</v>
      </c>
      <c r="N26" s="134">
        <f>'2-ф2'!N19</f>
        <v>-2437.4036702898547</v>
      </c>
      <c r="O26" s="134">
        <f>'2-ф2'!O19</f>
        <v>-2510.349280434782</v>
      </c>
      <c r="P26" s="134">
        <f>'2-ф2'!P19</f>
        <v>-2510.349280434782</v>
      </c>
      <c r="Q26" s="134">
        <f>'2-ф2'!Q19</f>
        <v>-2506.5614326086948</v>
      </c>
      <c r="R26" s="134">
        <f>'2-ф2'!R19</f>
        <v>-2500.947576811593</v>
      </c>
      <c r="S26" s="134">
        <f>'2-ф2'!S19</f>
        <v>-2493.507713043477</v>
      </c>
      <c r="T26" s="134">
        <f>'2-ф2'!T19</f>
        <v>-2379.4314413043467</v>
      </c>
      <c r="U26" s="134">
        <f>'2-ф2'!U19</f>
        <v>-2263.5291615942015</v>
      </c>
      <c r="V26" s="134">
        <f>'2-ф2'!V19</f>
        <v>-2145.800873913042</v>
      </c>
      <c r="W26" s="134">
        <f>'2-ф2'!W19</f>
        <v>-1921.4361782608682</v>
      </c>
      <c r="X26" s="134">
        <f>'2-ф2'!X19</f>
        <v>-1695.24547463768</v>
      </c>
      <c r="Y26" s="134">
        <f>'2-ф2'!Y19</f>
        <v>-1467.2287630434773</v>
      </c>
      <c r="Z26" s="134">
        <f>'2-ф2'!Z19</f>
        <v>-1132.57564347826</v>
      </c>
      <c r="AA26" s="134">
        <f>'2-ф2'!AA19</f>
        <v>-796.0965159420281</v>
      </c>
      <c r="AB26" s="134">
        <f>'2-ф2'!AB19</f>
        <v>-457.7913804347817</v>
      </c>
      <c r="AC26" s="134">
        <f>'2-ф2'!AC19</f>
        <v>-457.7913804347817</v>
      </c>
      <c r="AD26" s="134">
        <f>'2-ф2'!AP19</f>
        <v>3624.6870673913104</v>
      </c>
      <c r="AE26" s="134">
        <f>'2-ф2'!BC19</f>
        <v>9148.094263043487</v>
      </c>
      <c r="AF26" s="134">
        <f>'2-ф2'!BP19</f>
        <v>16112.430206521749</v>
      </c>
      <c r="AG26" s="134">
        <f>'2-ф2'!CC19</f>
        <v>24517.69489782611</v>
      </c>
      <c r="AH26" s="134">
        <f>'2-ф2'!CP19</f>
        <v>33120.168450000034</v>
      </c>
    </row>
    <row r="28" spans="1:34" ht="12.75">
      <c r="A28" s="137" t="s">
        <v>145</v>
      </c>
      <c r="B28" s="138"/>
      <c r="C28" s="139">
        <f aca="true" t="shared" si="15" ref="C28:AH28">C5-C16</f>
        <v>0</v>
      </c>
      <c r="D28" s="140">
        <f t="shared" si="15"/>
        <v>0</v>
      </c>
      <c r="E28" s="140">
        <f t="shared" si="15"/>
        <v>0</v>
      </c>
      <c r="F28" s="140">
        <f t="shared" si="15"/>
        <v>0</v>
      </c>
      <c r="G28" s="140">
        <f t="shared" si="15"/>
        <v>0</v>
      </c>
      <c r="H28" s="140">
        <f t="shared" si="15"/>
        <v>0</v>
      </c>
      <c r="I28" s="140">
        <f t="shared" si="15"/>
        <v>0</v>
      </c>
      <c r="J28" s="139">
        <f t="shared" si="15"/>
        <v>0</v>
      </c>
      <c r="K28" s="258">
        <f t="shared" si="15"/>
        <v>0</v>
      </c>
      <c r="L28" s="140">
        <f t="shared" si="15"/>
        <v>0</v>
      </c>
      <c r="M28" s="140">
        <f t="shared" si="15"/>
        <v>0</v>
      </c>
      <c r="N28" s="140">
        <f t="shared" si="15"/>
        <v>0</v>
      </c>
      <c r="O28" s="140">
        <f t="shared" si="15"/>
        <v>0</v>
      </c>
      <c r="P28" s="140">
        <f>P5-P16</f>
        <v>0</v>
      </c>
      <c r="Q28" s="140">
        <f t="shared" si="15"/>
        <v>0</v>
      </c>
      <c r="R28" s="140">
        <f t="shared" si="15"/>
        <v>0</v>
      </c>
      <c r="S28" s="140">
        <f t="shared" si="15"/>
        <v>0</v>
      </c>
      <c r="T28" s="140">
        <f t="shared" si="15"/>
        <v>0</v>
      </c>
      <c r="U28" s="140">
        <f t="shared" si="15"/>
        <v>0</v>
      </c>
      <c r="V28" s="140">
        <f t="shared" si="15"/>
        <v>0</v>
      </c>
      <c r="W28" s="140">
        <f t="shared" si="15"/>
        <v>0</v>
      </c>
      <c r="X28" s="140">
        <f t="shared" si="15"/>
        <v>0</v>
      </c>
      <c r="Y28" s="140">
        <f t="shared" si="15"/>
        <v>0</v>
      </c>
      <c r="Z28" s="140">
        <f t="shared" si="15"/>
        <v>0</v>
      </c>
      <c r="AA28" s="140">
        <f t="shared" si="15"/>
        <v>0</v>
      </c>
      <c r="AB28" s="140">
        <f t="shared" si="15"/>
        <v>0</v>
      </c>
      <c r="AC28" s="140">
        <f t="shared" si="15"/>
        <v>0</v>
      </c>
      <c r="AD28" s="140">
        <f t="shared" si="15"/>
        <v>0</v>
      </c>
      <c r="AE28" s="140">
        <f t="shared" si="15"/>
        <v>0</v>
      </c>
      <c r="AF28" s="140">
        <f t="shared" si="15"/>
        <v>0</v>
      </c>
      <c r="AG28" s="140">
        <f t="shared" si="15"/>
        <v>0</v>
      </c>
      <c r="AH28" s="140">
        <f t="shared" si="15"/>
        <v>0</v>
      </c>
    </row>
    <row r="29" ht="12.75" hidden="1"/>
    <row r="30" spans="1:34" ht="12.75" hidden="1">
      <c r="A30" s="120" t="s">
        <v>144</v>
      </c>
      <c r="P30" s="121">
        <f>P26</f>
        <v>-2510.349280434782</v>
      </c>
      <c r="Q30" s="121">
        <f>'[45]ф2'!Q32</f>
        <v>109.48954266069855</v>
      </c>
      <c r="R30" s="121">
        <f>'[45]ф2'!R32</f>
        <v>109.48954266069855</v>
      </c>
      <c r="S30" s="121">
        <f>'[45]ф2'!S32</f>
        <v>108.45296951069854</v>
      </c>
      <c r="T30" s="121">
        <f>'[45]ф2'!T32</f>
        <v>106.37982321069852</v>
      </c>
      <c r="U30" s="121">
        <f>'[45]ф2'!U32</f>
        <v>103.27010376069849</v>
      </c>
      <c r="V30" s="121">
        <f>'[45]ф2'!V32</f>
        <v>103.27010376069849</v>
      </c>
      <c r="W30" s="121">
        <f>'[45]ф2'!W32</f>
        <v>103.27010376069849</v>
      </c>
      <c r="X30" s="121">
        <f>'[45]ф2'!X32</f>
        <v>99.20125340855881</v>
      </c>
      <c r="Y30" s="121">
        <f>'[45]ф2'!Y32</f>
        <v>99.20125340855881</v>
      </c>
      <c r="Z30" s="121">
        <f>'[45]ф2'!Z32</f>
        <v>99.20125340855881</v>
      </c>
      <c r="AA30" s="121">
        <f>'[45]ф2'!AA32</f>
        <v>99.20125340855881</v>
      </c>
      <c r="AB30" s="121">
        <f>'[45]ф2'!AB32</f>
        <v>82.61608300855879</v>
      </c>
      <c r="AC30" s="121">
        <f>AC26-P26</f>
        <v>2052.5579000000002</v>
      </c>
      <c r="AD30" s="121">
        <f>AD26-AC26</f>
        <v>4082.478447826092</v>
      </c>
      <c r="AE30" s="121">
        <f>AE26-AD26</f>
        <v>5523.407195652177</v>
      </c>
      <c r="AF30" s="121">
        <f>AF26-AE26</f>
        <v>6964.3359434782615</v>
      </c>
      <c r="AG30" s="121">
        <f>AG26-AF26</f>
        <v>8405.26469130436</v>
      </c>
      <c r="AH30" s="121">
        <f>AH26-AG26</f>
        <v>8602.473552173924</v>
      </c>
    </row>
    <row r="31" spans="1:34" ht="12.75" hidden="1">
      <c r="A31" s="120" t="s">
        <v>146</v>
      </c>
      <c r="P31" s="121">
        <f>(P8+P10+P13+P14)-(C8+C10+C13+C14)</f>
        <v>0</v>
      </c>
      <c r="AC31" s="121">
        <f>(AC8+AC10+AC13+AC14)-(P8+P10+P13+P14)</f>
        <v>0</v>
      </c>
      <c r="AD31" s="121">
        <f>(AD8+AD10+AD13+AD14)-(AC8+AC10+AC13+AC14)</f>
        <v>0</v>
      </c>
      <c r="AE31" s="121">
        <f>(AE8+AE10+AE13+AE14)-(AD8+AD10+AD13+AD14)</f>
        <v>0</v>
      </c>
      <c r="AF31" s="121">
        <f>(AF8+AF10+AF13+AF14)-(AE8+AE10+AE13+AE14)</f>
        <v>0</v>
      </c>
      <c r="AG31" s="121">
        <f>(AG8+AG10+AG13+AG14)-(AF8+AF10+AF13+AF14)</f>
        <v>0</v>
      </c>
      <c r="AH31" s="121">
        <f>(AH8+AH10+AH13+AH14)-(AG8+AG10+AG13+AG14)</f>
        <v>0</v>
      </c>
    </row>
    <row r="32" spans="1:34" ht="12.75" hidden="1">
      <c r="A32" s="120" t="s">
        <v>147</v>
      </c>
      <c r="P32" s="121">
        <f>P9-C9</f>
        <v>1242</v>
      </c>
      <c r="AC32" s="121">
        <f>AC9-P9</f>
        <v>0</v>
      </c>
      <c r="AD32" s="121">
        <f>AD9-AC9</f>
        <v>0</v>
      </c>
      <c r="AE32" s="121">
        <f>AE9-AD9</f>
        <v>0</v>
      </c>
      <c r="AF32" s="121">
        <f>AF9-AE9</f>
        <v>0</v>
      </c>
      <c r="AG32" s="121">
        <f>AG9-AF9</f>
        <v>0</v>
      </c>
      <c r="AH32" s="121">
        <f>AH9-AG9</f>
        <v>0</v>
      </c>
    </row>
    <row r="33" spans="1:34" ht="12.75" hidden="1">
      <c r="A33" s="120" t="s">
        <v>148</v>
      </c>
      <c r="P33" s="121">
        <f>(P21+P17)-(C21+C17)</f>
        <v>11503.850217391302</v>
      </c>
      <c r="AC33" s="121">
        <f>(AC21+AC17)-(P21+P17)</f>
        <v>-2191.2095652173957</v>
      </c>
      <c r="AD33" s="121">
        <f>(AD21+AD17)-(AC21+AC17)</f>
        <v>-2191.2095652173957</v>
      </c>
      <c r="AE33" s="121">
        <f>(AE21+AE17)-(AD21+AD17)</f>
        <v>-2191.2095652173957</v>
      </c>
      <c r="AF33" s="121">
        <f>(AF21+AF17)-(AE21+AE17)</f>
        <v>-2191.209565217392</v>
      </c>
      <c r="AG33" s="121">
        <f>(AG21+AG17)-(AF21+AF17)</f>
        <v>-2191.2095652173907</v>
      </c>
      <c r="AH33" s="121">
        <f>(AH21+AH17)-(AG21+AG17)</f>
        <v>-547.8023913043478</v>
      </c>
    </row>
    <row r="34" spans="1:34" ht="12.75" hidden="1">
      <c r="A34" s="120" t="s">
        <v>149</v>
      </c>
      <c r="P34" s="121">
        <f>-P31+P32+P33</f>
        <v>12745.850217391302</v>
      </c>
      <c r="Q34" s="121">
        <f aca="true" t="shared" si="16" ref="Q34:AB34">Q31+Q32+Q33</f>
        <v>0</v>
      </c>
      <c r="R34" s="121">
        <f t="shared" si="16"/>
        <v>0</v>
      </c>
      <c r="S34" s="121">
        <f t="shared" si="16"/>
        <v>0</v>
      </c>
      <c r="T34" s="121">
        <f t="shared" si="16"/>
        <v>0</v>
      </c>
      <c r="U34" s="121">
        <f t="shared" si="16"/>
        <v>0</v>
      </c>
      <c r="V34" s="121">
        <f t="shared" si="16"/>
        <v>0</v>
      </c>
      <c r="W34" s="121">
        <f t="shared" si="16"/>
        <v>0</v>
      </c>
      <c r="X34" s="121">
        <f t="shared" si="16"/>
        <v>0</v>
      </c>
      <c r="Y34" s="121">
        <f t="shared" si="16"/>
        <v>0</v>
      </c>
      <c r="Z34" s="121">
        <f t="shared" si="16"/>
        <v>0</v>
      </c>
      <c r="AA34" s="121">
        <f t="shared" si="16"/>
        <v>0</v>
      </c>
      <c r="AB34" s="121">
        <f t="shared" si="16"/>
        <v>0</v>
      </c>
      <c r="AC34" s="121">
        <f aca="true" t="shared" si="17" ref="AC34:AH34">-AC31+AC32+AC33</f>
        <v>-2191.2095652173957</v>
      </c>
      <c r="AD34" s="121">
        <f t="shared" si="17"/>
        <v>-2191.2095652173957</v>
      </c>
      <c r="AE34" s="121">
        <f t="shared" si="17"/>
        <v>-2191.2095652173957</v>
      </c>
      <c r="AF34" s="121">
        <f t="shared" si="17"/>
        <v>-2191.209565217392</v>
      </c>
      <c r="AG34" s="121">
        <f t="shared" si="17"/>
        <v>-2191.2095652173907</v>
      </c>
      <c r="AH34" s="121">
        <f t="shared" si="17"/>
        <v>-547.8023913043478</v>
      </c>
    </row>
    <row r="35" spans="1:34" ht="12.75" hidden="1">
      <c r="A35" s="120" t="s">
        <v>78</v>
      </c>
      <c r="P35" s="121">
        <f>'2-ф2'!P14</f>
        <v>923.1750000000002</v>
      </c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>
        <f>'2-ф2'!AC14</f>
        <v>1230.9000000000003</v>
      </c>
      <c r="AD35" s="121">
        <f>'2-ф2'!AP14</f>
        <v>1230.9</v>
      </c>
      <c r="AE35" s="121">
        <f>'2-ф2'!BC14</f>
        <v>1230.9</v>
      </c>
      <c r="AF35" s="121">
        <f>'2-ф2'!BP14</f>
        <v>1230.9</v>
      </c>
      <c r="AG35" s="121">
        <f>'2-ф2'!CC14</f>
        <v>1230.9</v>
      </c>
      <c r="AH35" s="121">
        <f>'2-ф2'!CP14</f>
        <v>1230.9</v>
      </c>
    </row>
    <row r="36" spans="1:34" ht="12.75" hidden="1">
      <c r="A36" s="120" t="s">
        <v>150</v>
      </c>
      <c r="P36" s="121">
        <f>-'1-Ф3'!P23</f>
        <v>-12309</v>
      </c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>
        <f>-'1-Ф3'!AC23</f>
        <v>0</v>
      </c>
      <c r="AD36" s="121">
        <f>-'1-Ф3'!AP23</f>
        <v>0</v>
      </c>
      <c r="AE36" s="121">
        <f>-'1-Ф3'!BP23</f>
        <v>0</v>
      </c>
      <c r="AF36" s="121">
        <f>-'1-Ф3'!CC23</f>
        <v>0</v>
      </c>
      <c r="AG36" s="121">
        <f>-'1-Ф3'!CP23</f>
        <v>0</v>
      </c>
      <c r="AH36" s="121" t="e">
        <f>-'1-Ф3'!#REF!</f>
        <v>#REF!</v>
      </c>
    </row>
    <row r="37" spans="1:34" ht="12.75" hidden="1">
      <c r="A37" s="120" t="s">
        <v>151</v>
      </c>
      <c r="P37" s="121">
        <f>P30+P34+P35+P36+P25</f>
        <v>2708.475636956519</v>
      </c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>
        <f aca="true" t="shared" si="18" ref="AC37:AH37">AC30+AC34+AC35+AC36</f>
        <v>1092.2483347826048</v>
      </c>
      <c r="AD37" s="121">
        <f t="shared" si="18"/>
        <v>3122.1688826086965</v>
      </c>
      <c r="AE37" s="121">
        <f t="shared" si="18"/>
        <v>4563.0976304347805</v>
      </c>
      <c r="AF37" s="121">
        <f t="shared" si="18"/>
        <v>6004.026378260869</v>
      </c>
      <c r="AG37" s="121">
        <f t="shared" si="18"/>
        <v>7444.95512608697</v>
      </c>
      <c r="AH37" s="121" t="e">
        <f t="shared" si="18"/>
        <v>#REF!</v>
      </c>
    </row>
    <row r="38" ht="12.75" hidden="1"/>
    <row r="39" spans="1:34" ht="12.75" hidden="1">
      <c r="A39" s="120" t="s">
        <v>157</v>
      </c>
      <c r="P39" s="121">
        <f>'1-Ф3'!P36</f>
        <v>224.47563695652389</v>
      </c>
      <c r="AC39" s="121">
        <f>'1-Ф3'!AC36</f>
        <v>1092.2483347826178</v>
      </c>
      <c r="AD39" s="121">
        <f>'1-Ф3'!AP36</f>
        <v>3122.1688826087025</v>
      </c>
      <c r="AE39" s="121">
        <f>'1-Ф3'!BP36</f>
        <v>6004.026378260873</v>
      </c>
      <c r="AF39" s="121">
        <f>'1-Ф3'!CC36</f>
        <v>7444.955126086961</v>
      </c>
      <c r="AG39" s="121">
        <f>'1-Ф3'!CP36</f>
        <v>9285.571160869575</v>
      </c>
      <c r="AH39" s="121" t="e">
        <f>'1-Ф3'!#REF!</f>
        <v>#REF!</v>
      </c>
    </row>
    <row r="40" spans="1:34" ht="12.75" hidden="1">
      <c r="A40" s="137" t="s">
        <v>145</v>
      </c>
      <c r="B40" s="138"/>
      <c r="C40" s="1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>
        <f>P39-P37</f>
        <v>-2483.999999999995</v>
      </c>
      <c r="Q40" s="140">
        <f aca="true" t="shared" si="19" ref="Q40:AB40">Q39-Q37</f>
        <v>0</v>
      </c>
      <c r="R40" s="140">
        <f t="shared" si="19"/>
        <v>0</v>
      </c>
      <c r="S40" s="140">
        <f t="shared" si="19"/>
        <v>0</v>
      </c>
      <c r="T40" s="140">
        <f t="shared" si="19"/>
        <v>0</v>
      </c>
      <c r="U40" s="140">
        <f t="shared" si="19"/>
        <v>0</v>
      </c>
      <c r="V40" s="140">
        <f t="shared" si="19"/>
        <v>0</v>
      </c>
      <c r="W40" s="140">
        <f t="shared" si="19"/>
        <v>0</v>
      </c>
      <c r="X40" s="140">
        <f t="shared" si="19"/>
        <v>0</v>
      </c>
      <c r="Y40" s="140">
        <f t="shared" si="19"/>
        <v>0</v>
      </c>
      <c r="Z40" s="140">
        <f t="shared" si="19"/>
        <v>0</v>
      </c>
      <c r="AA40" s="140">
        <f t="shared" si="19"/>
        <v>0</v>
      </c>
      <c r="AB40" s="140">
        <f t="shared" si="19"/>
        <v>0</v>
      </c>
      <c r="AC40" s="140">
        <f aca="true" t="shared" si="20" ref="AC40:AH40">AC39-AC37</f>
        <v>1.2960299500264227E-11</v>
      </c>
      <c r="AD40" s="140">
        <f t="shared" si="20"/>
        <v>5.9117155615240335E-12</v>
      </c>
      <c r="AE40" s="140">
        <f t="shared" si="20"/>
        <v>1440.9287478260921</v>
      </c>
      <c r="AF40" s="140">
        <f t="shared" si="20"/>
        <v>1440.9287478260921</v>
      </c>
      <c r="AG40" s="140">
        <f t="shared" si="20"/>
        <v>1840.6160347826044</v>
      </c>
      <c r="AH40" s="140" t="e">
        <f t="shared" si="20"/>
        <v>#REF!</v>
      </c>
    </row>
    <row r="41" spans="11:14" ht="12.75">
      <c r="K41" s="259">
        <f>K28-J28</f>
        <v>0</v>
      </c>
      <c r="L41" s="259">
        <f>L28-K28</f>
        <v>0</v>
      </c>
      <c r="M41" s="259">
        <f>M28-L28</f>
        <v>0</v>
      </c>
      <c r="N41" s="259">
        <f>N28-M28</f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4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3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H22" sqref="H22"/>
    </sheetView>
  </sheetViews>
  <sheetFormatPr defaultColWidth="9.00390625" defaultRowHeight="12.75"/>
  <cols>
    <col min="1" max="1" width="40.00390625" style="78" customWidth="1"/>
    <col min="2" max="2" width="18.75390625" style="78" customWidth="1"/>
    <col min="3" max="3" width="17.00390625" style="78" customWidth="1"/>
    <col min="4" max="13" width="9.125" style="78" customWidth="1"/>
    <col min="14" max="14" width="14.375" style="78" customWidth="1"/>
    <col min="15" max="16384" width="9.125" style="78" customWidth="1"/>
  </cols>
  <sheetData>
    <row r="1" spans="1:3" ht="15.75" customHeight="1">
      <c r="A1" s="296" t="s">
        <v>39</v>
      </c>
      <c r="B1" s="296"/>
      <c r="C1" s="296"/>
    </row>
    <row r="2" ht="12" customHeight="1">
      <c r="A2" s="62"/>
    </row>
    <row r="3" spans="1:3" ht="12.75">
      <c r="A3" s="79" t="s">
        <v>28</v>
      </c>
      <c r="B3" s="80" t="s">
        <v>40</v>
      </c>
      <c r="C3" s="80" t="s">
        <v>8</v>
      </c>
    </row>
    <row r="4" ht="12.75">
      <c r="A4" s="62" t="s">
        <v>159</v>
      </c>
    </row>
    <row r="5" spans="1:3" ht="12.75">
      <c r="A5" s="81" t="s">
        <v>108</v>
      </c>
      <c r="B5" s="81"/>
      <c r="C5" s="145">
        <v>148</v>
      </c>
    </row>
    <row r="6" spans="1:3" ht="12.75">
      <c r="A6" s="81" t="s">
        <v>169</v>
      </c>
      <c r="B6" s="81"/>
      <c r="C6" s="248">
        <v>4.8</v>
      </c>
    </row>
    <row r="7" spans="1:4" ht="12.75">
      <c r="A7" s="81" t="s">
        <v>74</v>
      </c>
      <c r="B7" s="81"/>
      <c r="C7" s="160">
        <f>20%*C8+C30*(1-C19)*(1-C8)</f>
        <v>0.1363529720126357</v>
      </c>
      <c r="D7" s="78" t="s">
        <v>170</v>
      </c>
    </row>
    <row r="8" spans="1:3" ht="12.75">
      <c r="A8" s="81" t="s">
        <v>270</v>
      </c>
      <c r="B8" s="81"/>
      <c r="C8" s="160">
        <f>'1-Ф3'!B30/'1-Ф3'!B29</f>
        <v>0.23867191402674293</v>
      </c>
    </row>
    <row r="9" spans="1:3" ht="12.75">
      <c r="A9" s="81" t="s">
        <v>152</v>
      </c>
      <c r="B9" s="81"/>
      <c r="C9" s="85" t="s">
        <v>59</v>
      </c>
    </row>
    <row r="10" ht="12.75">
      <c r="A10" s="62" t="s">
        <v>153</v>
      </c>
    </row>
    <row r="11" spans="1:3" ht="12.75">
      <c r="A11" s="81" t="s">
        <v>47</v>
      </c>
      <c r="B11" s="83" t="s">
        <v>42</v>
      </c>
      <c r="C11" s="84">
        <v>0.1</v>
      </c>
    </row>
    <row r="12" spans="1:3" ht="12.75" hidden="1">
      <c r="A12" s="81" t="s">
        <v>52</v>
      </c>
      <c r="B12" s="83" t="s">
        <v>42</v>
      </c>
      <c r="C12" s="84"/>
    </row>
    <row r="13" spans="1:3" ht="12.75">
      <c r="A13" s="81" t="s">
        <v>48</v>
      </c>
      <c r="B13" s="83" t="s">
        <v>42</v>
      </c>
      <c r="C13" s="84">
        <v>0.1</v>
      </c>
    </row>
    <row r="14" spans="1:3" ht="12.75" hidden="1">
      <c r="A14" s="81" t="s">
        <v>50</v>
      </c>
      <c r="B14" s="83" t="s">
        <v>42</v>
      </c>
      <c r="C14" s="84"/>
    </row>
    <row r="15" spans="1:3" ht="12.75">
      <c r="A15" s="81" t="s">
        <v>119</v>
      </c>
      <c r="B15" s="83" t="s">
        <v>59</v>
      </c>
      <c r="C15" s="86">
        <v>15.999</v>
      </c>
    </row>
    <row r="16" spans="1:3" ht="12.75">
      <c r="A16" s="81" t="s">
        <v>2</v>
      </c>
      <c r="B16" s="83"/>
      <c r="C16" s="260">
        <v>0.015</v>
      </c>
    </row>
    <row r="17" spans="1:3" ht="12.75" hidden="1">
      <c r="A17" s="81" t="s">
        <v>41</v>
      </c>
      <c r="B17" s="83" t="s">
        <v>42</v>
      </c>
      <c r="C17" s="84">
        <v>0</v>
      </c>
    </row>
    <row r="18" spans="1:3" ht="12.75" hidden="1">
      <c r="A18" s="81" t="s">
        <v>61</v>
      </c>
      <c r="B18" s="81"/>
      <c r="C18" s="82">
        <v>1</v>
      </c>
    </row>
    <row r="19" spans="1:3" ht="12.75">
      <c r="A19" s="81" t="s">
        <v>224</v>
      </c>
      <c r="B19" s="81"/>
      <c r="C19" s="84">
        <v>0.03</v>
      </c>
    </row>
    <row r="20" ht="12.75">
      <c r="A20" s="62" t="s">
        <v>222</v>
      </c>
    </row>
    <row r="21" spans="1:3" ht="12.75">
      <c r="A21" s="81" t="s">
        <v>231</v>
      </c>
      <c r="B21" s="83" t="s">
        <v>232</v>
      </c>
      <c r="C21" s="145">
        <v>20</v>
      </c>
    </row>
    <row r="22" spans="1:5" ht="12.75">
      <c r="A22" s="81" t="s">
        <v>251</v>
      </c>
      <c r="B22" s="83" t="s">
        <v>250</v>
      </c>
      <c r="C22" s="145">
        <v>6</v>
      </c>
      <c r="E22" s="263"/>
    </row>
    <row r="23" spans="1:5" ht="12.75">
      <c r="A23" s="81" t="s">
        <v>252</v>
      </c>
      <c r="B23" s="83" t="s">
        <v>42</v>
      </c>
      <c r="C23" s="267">
        <v>0.12</v>
      </c>
      <c r="E23" s="263"/>
    </row>
    <row r="24" spans="1:5" ht="12.75">
      <c r="A24" s="81" t="s">
        <v>253</v>
      </c>
      <c r="B24" s="83" t="s">
        <v>42</v>
      </c>
      <c r="C24" s="267">
        <v>0.46</v>
      </c>
      <c r="E24" s="263"/>
    </row>
    <row r="25" spans="1:5" ht="12.75">
      <c r="A25" s="81" t="s">
        <v>254</v>
      </c>
      <c r="B25" s="83" t="s">
        <v>42</v>
      </c>
      <c r="C25" s="267">
        <v>0.36</v>
      </c>
      <c r="E25" s="263"/>
    </row>
    <row r="26" spans="1:3" ht="12.75">
      <c r="A26" s="81" t="s">
        <v>255</v>
      </c>
      <c r="B26" s="83" t="s">
        <v>258</v>
      </c>
      <c r="C26" s="146">
        <f>$C$21*$C$22*C23</f>
        <v>14.399999999999999</v>
      </c>
    </row>
    <row r="27" spans="1:3" ht="12.75">
      <c r="A27" s="81" t="s">
        <v>256</v>
      </c>
      <c r="B27" s="83" t="s">
        <v>258</v>
      </c>
      <c r="C27" s="146">
        <f>$C$21*$C$22*C24</f>
        <v>55.2</v>
      </c>
    </row>
    <row r="28" spans="1:3" ht="12.75">
      <c r="A28" s="81" t="s">
        <v>257</v>
      </c>
      <c r="B28" s="83" t="s">
        <v>258</v>
      </c>
      <c r="C28" s="146">
        <f>$C$21*$C$22*C25</f>
        <v>43.199999999999996</v>
      </c>
    </row>
    <row r="29" ht="12.75">
      <c r="A29" s="62" t="s">
        <v>160</v>
      </c>
    </row>
    <row r="30" spans="1:3" ht="12.75">
      <c r="A30" s="81" t="s">
        <v>57</v>
      </c>
      <c r="B30" s="83" t="s">
        <v>42</v>
      </c>
      <c r="C30" s="84">
        <v>0.12</v>
      </c>
    </row>
    <row r="31" spans="1:3" ht="12.75">
      <c r="A31" s="81" t="s">
        <v>161</v>
      </c>
      <c r="B31" s="83" t="s">
        <v>162</v>
      </c>
      <c r="C31" s="248">
        <v>6</v>
      </c>
    </row>
    <row r="32" spans="1:3" ht="12.75">
      <c r="A32" s="81" t="s">
        <v>163</v>
      </c>
      <c r="B32" s="83" t="s">
        <v>165</v>
      </c>
      <c r="C32" s="145">
        <v>3</v>
      </c>
    </row>
    <row r="33" spans="1:3" ht="12.75">
      <c r="A33" s="81" t="s">
        <v>164</v>
      </c>
      <c r="B33" s="83" t="s">
        <v>165</v>
      </c>
      <c r="C33" s="145">
        <v>3</v>
      </c>
    </row>
  </sheetData>
  <sheetProtection/>
  <mergeCells count="1">
    <mergeCell ref="A1:C1"/>
  </mergeCells>
  <printOptions/>
  <pageMargins left="0.33" right="0.3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7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B7" sqref="B7"/>
    </sheetView>
  </sheetViews>
  <sheetFormatPr defaultColWidth="8.875" defaultRowHeight="12.75"/>
  <cols>
    <col min="1" max="1" width="29.75390625" style="78" customWidth="1"/>
    <col min="2" max="2" width="19.75390625" style="78" customWidth="1"/>
    <col min="3" max="16384" width="8.875" style="78" customWidth="1"/>
  </cols>
  <sheetData>
    <row r="1" ht="12.75">
      <c r="A1" s="62" t="s">
        <v>223</v>
      </c>
    </row>
    <row r="2" ht="12.75">
      <c r="A2" s="62"/>
    </row>
    <row r="3" ht="12.75">
      <c r="D3" s="263"/>
    </row>
    <row r="4" spans="1:2" ht="12.75">
      <c r="A4" s="223" t="s">
        <v>205</v>
      </c>
      <c r="B4" s="246" t="s">
        <v>260</v>
      </c>
    </row>
    <row r="5" spans="1:3" ht="12.75">
      <c r="A5" s="81" t="s">
        <v>269</v>
      </c>
      <c r="B5" s="145">
        <v>63</v>
      </c>
      <c r="C5" s="268"/>
    </row>
    <row r="6" spans="1:2" ht="12.75">
      <c r="A6" s="81" t="s">
        <v>259</v>
      </c>
      <c r="B6" s="145">
        <v>68</v>
      </c>
    </row>
    <row r="7" spans="1:2" ht="12.75">
      <c r="A7" s="81" t="s">
        <v>254</v>
      </c>
      <c r="B7" s="145">
        <v>8</v>
      </c>
    </row>
  </sheetData>
  <sheetProtection/>
  <printOptions/>
  <pageMargins left="0.49" right="0.18" top="0.3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8.875" defaultRowHeight="12.75"/>
  <cols>
    <col min="1" max="1" width="27.625" style="78" customWidth="1"/>
    <col min="2" max="2" width="15.125" style="78" customWidth="1"/>
    <col min="3" max="5" width="10.75390625" style="78" customWidth="1"/>
    <col min="6" max="16384" width="8.875" style="78" customWidth="1"/>
  </cols>
  <sheetData>
    <row r="1" ht="12.75">
      <c r="A1" s="62" t="s">
        <v>221</v>
      </c>
    </row>
    <row r="2" ht="7.5" customHeight="1">
      <c r="A2" s="62"/>
    </row>
    <row r="4" spans="1:2" ht="12.75">
      <c r="A4" s="297" t="s">
        <v>205</v>
      </c>
      <c r="B4" s="299" t="s">
        <v>262</v>
      </c>
    </row>
    <row r="5" spans="1:2" ht="12.75">
      <c r="A5" s="298"/>
      <c r="B5" s="300"/>
    </row>
    <row r="6" spans="1:2" ht="12.75">
      <c r="A6" s="81" t="s">
        <v>276</v>
      </c>
      <c r="B6" s="145">
        <v>23</v>
      </c>
    </row>
    <row r="8" s="148" customFormat="1" ht="12.75">
      <c r="D8" s="263"/>
    </row>
    <row r="9" s="148" customFormat="1" ht="12.75"/>
  </sheetData>
  <sheetProtection/>
  <mergeCells count="2">
    <mergeCell ref="A4:A5"/>
    <mergeCell ref="B4:B5"/>
  </mergeCells>
  <printOptions/>
  <pageMargins left="0.34" right="0.43" top="0.45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AI11"/>
  <sheetViews>
    <sheetView showGridLines="0" showZeros="0" zoomScalePageLayoutView="0" workbookViewId="0" topLeftCell="A1">
      <pane xSplit="3" ySplit="4" topLeftCell="X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F15" sqref="AF15"/>
    </sheetView>
  </sheetViews>
  <sheetFormatPr defaultColWidth="10.125" defaultRowHeight="12.75" outlineLevelCol="1"/>
  <cols>
    <col min="1" max="1" width="38.125" style="252" customWidth="1"/>
    <col min="2" max="2" width="11.375" style="252" customWidth="1"/>
    <col min="3" max="3" width="6.375" style="252" bestFit="1" customWidth="1"/>
    <col min="4" max="12" width="9.00390625" style="252" hidden="1" customWidth="1" outlineLevel="1"/>
    <col min="13" max="14" width="8.625" style="252" hidden="1" customWidth="1" outlineLevel="1"/>
    <col min="15" max="15" width="8.875" style="252" hidden="1" customWidth="1" outlineLevel="1"/>
    <col min="16" max="16" width="9.125" style="252" customWidth="1" collapsed="1"/>
    <col min="17" max="28" width="8.375" style="252" hidden="1" customWidth="1" outlineLevel="1"/>
    <col min="29" max="29" width="9.125" style="252" customWidth="1" collapsed="1"/>
    <col min="30" max="34" width="9.125" style="252" customWidth="1"/>
    <col min="35" max="35" width="10.125" style="250" customWidth="1"/>
    <col min="36" max="16384" width="10.125" style="252" customWidth="1"/>
  </cols>
  <sheetData>
    <row r="1" spans="1:35" ht="21" customHeight="1">
      <c r="A1" s="255" t="s">
        <v>213</v>
      </c>
      <c r="B1" s="251"/>
      <c r="C1" s="251"/>
      <c r="AI1" s="252"/>
    </row>
    <row r="2" spans="1:35" ht="17.25" customHeight="1">
      <c r="A2" s="255"/>
      <c r="B2" s="256" t="s">
        <v>261</v>
      </c>
      <c r="C2" s="253"/>
      <c r="AI2" s="252"/>
    </row>
    <row r="3" spans="1:35" ht="12.75" customHeight="1">
      <c r="A3" s="301" t="s">
        <v>212</v>
      </c>
      <c r="B3" s="294" t="s">
        <v>1</v>
      </c>
      <c r="C3" s="123"/>
      <c r="D3" s="295">
        <v>2012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>
        <v>2013</v>
      </c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124">
        <v>2014</v>
      </c>
      <c r="AE3" s="124">
        <f>AD3+1</f>
        <v>2015</v>
      </c>
      <c r="AF3" s="124">
        <f>AE3+1</f>
        <v>2016</v>
      </c>
      <c r="AG3" s="124">
        <f>AF3+1</f>
        <v>2017</v>
      </c>
      <c r="AH3" s="124">
        <f>AG3+1</f>
        <v>2018</v>
      </c>
      <c r="AI3" s="252"/>
    </row>
    <row r="4" spans="1:35" ht="12.75">
      <c r="A4" s="302"/>
      <c r="B4" s="294"/>
      <c r="C4" s="125"/>
      <c r="D4" s="126">
        <f aca="true" t="shared" si="0" ref="D4:L4">C4+1</f>
        <v>1</v>
      </c>
      <c r="E4" s="126">
        <f t="shared" si="0"/>
        <v>2</v>
      </c>
      <c r="F4" s="126">
        <f t="shared" si="0"/>
        <v>3</v>
      </c>
      <c r="G4" s="126">
        <f t="shared" si="0"/>
        <v>4</v>
      </c>
      <c r="H4" s="126">
        <f t="shared" si="0"/>
        <v>5</v>
      </c>
      <c r="I4" s="126">
        <f t="shared" si="0"/>
        <v>6</v>
      </c>
      <c r="J4" s="126">
        <f t="shared" si="0"/>
        <v>7</v>
      </c>
      <c r="K4" s="126">
        <f t="shared" si="0"/>
        <v>8</v>
      </c>
      <c r="L4" s="126">
        <f t="shared" si="0"/>
        <v>9</v>
      </c>
      <c r="M4" s="126">
        <f>L4+1</f>
        <v>10</v>
      </c>
      <c r="N4" s="126">
        <f>M4+1</f>
        <v>11</v>
      </c>
      <c r="O4" s="126">
        <f>N4+1</f>
        <v>12</v>
      </c>
      <c r="P4" s="122" t="s">
        <v>0</v>
      </c>
      <c r="Q4" s="126">
        <v>1</v>
      </c>
      <c r="R4" s="126">
        <f aca="true" t="shared" si="1" ref="R4:AB4">Q4+1</f>
        <v>2</v>
      </c>
      <c r="S4" s="126">
        <f t="shared" si="1"/>
        <v>3</v>
      </c>
      <c r="T4" s="126">
        <f t="shared" si="1"/>
        <v>4</v>
      </c>
      <c r="U4" s="126">
        <f t="shared" si="1"/>
        <v>5</v>
      </c>
      <c r="V4" s="126">
        <f t="shared" si="1"/>
        <v>6</v>
      </c>
      <c r="W4" s="126">
        <f t="shared" si="1"/>
        <v>7</v>
      </c>
      <c r="X4" s="126">
        <f t="shared" si="1"/>
        <v>8</v>
      </c>
      <c r="Y4" s="126">
        <f t="shared" si="1"/>
        <v>9</v>
      </c>
      <c r="Z4" s="126">
        <f t="shared" si="1"/>
        <v>10</v>
      </c>
      <c r="AA4" s="126">
        <f t="shared" si="1"/>
        <v>11</v>
      </c>
      <c r="AB4" s="126">
        <f t="shared" si="1"/>
        <v>12</v>
      </c>
      <c r="AC4" s="122" t="s">
        <v>0</v>
      </c>
      <c r="AD4" s="122"/>
      <c r="AE4" s="122"/>
      <c r="AF4" s="122"/>
      <c r="AG4" s="122"/>
      <c r="AH4" s="122"/>
      <c r="AI4" s="252"/>
    </row>
    <row r="5" spans="1:35" ht="15" customHeight="1">
      <c r="A5" s="254" t="s">
        <v>225</v>
      </c>
      <c r="B5" s="128"/>
      <c r="C5" s="129"/>
      <c r="D5" s="133"/>
      <c r="E5" s="133"/>
      <c r="F5" s="133"/>
      <c r="G5" s="262">
        <v>0</v>
      </c>
      <c r="H5" s="262">
        <v>0.3</v>
      </c>
      <c r="I5" s="262">
        <v>0.35</v>
      </c>
      <c r="J5" s="262">
        <v>0.35</v>
      </c>
      <c r="K5" s="262">
        <v>0.4</v>
      </c>
      <c r="L5" s="262">
        <v>0.4</v>
      </c>
      <c r="M5" s="262">
        <v>0.45</v>
      </c>
      <c r="N5" s="262">
        <v>0.45</v>
      </c>
      <c r="O5" s="262">
        <v>0.45</v>
      </c>
      <c r="P5" s="261">
        <f>AVERAGE(D5:O5)</f>
        <v>0.35000000000000003</v>
      </c>
      <c r="Q5" s="262">
        <v>0.5</v>
      </c>
      <c r="R5" s="262">
        <v>0.5</v>
      </c>
      <c r="S5" s="262">
        <v>0.5</v>
      </c>
      <c r="T5" s="262">
        <v>0.55</v>
      </c>
      <c r="U5" s="262">
        <v>0.55</v>
      </c>
      <c r="V5" s="262">
        <v>0.55</v>
      </c>
      <c r="W5" s="262">
        <v>0.6</v>
      </c>
      <c r="X5" s="262">
        <v>0.6</v>
      </c>
      <c r="Y5" s="262">
        <v>0.6</v>
      </c>
      <c r="Z5" s="262">
        <v>0.65</v>
      </c>
      <c r="AA5" s="262">
        <v>0.65</v>
      </c>
      <c r="AB5" s="262">
        <v>0.65</v>
      </c>
      <c r="AC5" s="261">
        <f>AVERAGE(Q5:AB5)</f>
        <v>0.5750000000000001</v>
      </c>
      <c r="AD5" s="262">
        <v>0.65</v>
      </c>
      <c r="AE5" s="262">
        <v>0.7</v>
      </c>
      <c r="AF5" s="262">
        <v>0.75</v>
      </c>
      <c r="AG5" s="262">
        <v>0.8</v>
      </c>
      <c r="AH5" s="261">
        <f>AG5</f>
        <v>0.8</v>
      </c>
      <c r="AI5" s="252"/>
    </row>
    <row r="6" spans="1:35" ht="15" customHeight="1">
      <c r="A6" s="254" t="str">
        <f>Дох!A5</f>
        <v>Крупа пшеничная №2</v>
      </c>
      <c r="B6" s="128">
        <f>P6+AC6+AD6+AE6+AF6+AG6+AH6</f>
        <v>784.0799999999999</v>
      </c>
      <c r="C6" s="129"/>
      <c r="D6" s="133">
        <f>Исх!$C26*Производство!D$5</f>
        <v>0</v>
      </c>
      <c r="E6" s="133">
        <f>Исх!$C26*Производство!E$5</f>
        <v>0</v>
      </c>
      <c r="F6" s="133">
        <f>Исх!$C26*Производство!F$5</f>
        <v>0</v>
      </c>
      <c r="G6" s="133">
        <f>Исх!$C26*Производство!G$5</f>
        <v>0</v>
      </c>
      <c r="H6" s="133">
        <f>Исх!$C26*Производство!H$5</f>
        <v>4.319999999999999</v>
      </c>
      <c r="I6" s="133">
        <f>Исх!$C26*Производство!I$5</f>
        <v>5.039999999999999</v>
      </c>
      <c r="J6" s="133">
        <f>Исх!$C26*Производство!J$5</f>
        <v>5.039999999999999</v>
      </c>
      <c r="K6" s="133">
        <f>Исх!$C26*Производство!K$5</f>
        <v>5.76</v>
      </c>
      <c r="L6" s="133">
        <f>Исх!$C26*Производство!L$5</f>
        <v>5.76</v>
      </c>
      <c r="M6" s="133">
        <f>Исх!$C26*Производство!M$5</f>
        <v>6.4799999999999995</v>
      </c>
      <c r="N6" s="133">
        <f>Исх!$C26*Производство!N$5</f>
        <v>6.4799999999999995</v>
      </c>
      <c r="O6" s="133">
        <f>Исх!$C26*Производство!O$5</f>
        <v>6.4799999999999995</v>
      </c>
      <c r="P6" s="129">
        <f>SUM(D6:O6)</f>
        <v>45.359999999999985</v>
      </c>
      <c r="Q6" s="133">
        <f>Исх!$C26*Производство!Q$5</f>
        <v>7.199999999999999</v>
      </c>
      <c r="R6" s="133">
        <f>Исх!$C26*Производство!R$5</f>
        <v>7.199999999999999</v>
      </c>
      <c r="S6" s="133">
        <f>Исх!$C26*Производство!S$5</f>
        <v>7.199999999999999</v>
      </c>
      <c r="T6" s="133">
        <f>Исх!$C26*Производство!T$5</f>
        <v>7.92</v>
      </c>
      <c r="U6" s="133">
        <f>Исх!$C26*Производство!U$5</f>
        <v>7.92</v>
      </c>
      <c r="V6" s="133">
        <f>Исх!$C26*Производство!V$5</f>
        <v>7.92</v>
      </c>
      <c r="W6" s="133">
        <f>Исх!$C26*Производство!W$5</f>
        <v>8.639999999999999</v>
      </c>
      <c r="X6" s="133">
        <f>Исх!$C26*Производство!X$5</f>
        <v>8.639999999999999</v>
      </c>
      <c r="Y6" s="133">
        <f>Исх!$C26*Производство!Y$5</f>
        <v>8.639999999999999</v>
      </c>
      <c r="Z6" s="133">
        <f>Исх!$C26*Производство!Z$5</f>
        <v>9.36</v>
      </c>
      <c r="AA6" s="133">
        <f>Исх!$C26*Производство!AA$5</f>
        <v>9.36</v>
      </c>
      <c r="AB6" s="133">
        <f>Исх!$C26*Производство!AB$5</f>
        <v>9.36</v>
      </c>
      <c r="AC6" s="129">
        <f>SUM(Q6:AB6)</f>
        <v>99.36</v>
      </c>
      <c r="AD6" s="133">
        <f>Исх!$C26*Производство!AD$5*12</f>
        <v>112.32</v>
      </c>
      <c r="AE6" s="133">
        <f>Исх!$C26*Производство!AE$5*12</f>
        <v>120.95999999999998</v>
      </c>
      <c r="AF6" s="133">
        <f>Исх!$C26*Производство!AF$5*12</f>
        <v>129.6</v>
      </c>
      <c r="AG6" s="133">
        <f>Исх!$C26*Производство!AG$5*12</f>
        <v>138.24</v>
      </c>
      <c r="AH6" s="133">
        <f>Исх!$C26*Производство!AH$5*12</f>
        <v>138.24</v>
      </c>
      <c r="AI6" s="252"/>
    </row>
    <row r="7" spans="1:35" ht="15" customHeight="1">
      <c r="A7" s="254" t="str">
        <f>Дох!A6</f>
        <v>Крупа пшеничная №3</v>
      </c>
      <c r="B7" s="128">
        <f>P7+AC7+AD7+AE7+AF7+AG7+AH7</f>
        <v>3005.6400000000003</v>
      </c>
      <c r="C7" s="129"/>
      <c r="D7" s="133">
        <f>Исх!$C27*Производство!D$5</f>
        <v>0</v>
      </c>
      <c r="E7" s="133">
        <f>Исх!$C27*Производство!E$5</f>
        <v>0</v>
      </c>
      <c r="F7" s="133">
        <f>Исх!$C27*Производство!F$5</f>
        <v>0</v>
      </c>
      <c r="G7" s="133">
        <f>Исх!$C27*Производство!G$5</f>
        <v>0</v>
      </c>
      <c r="H7" s="133">
        <f>Исх!$C27*Производство!H$5</f>
        <v>16.56</v>
      </c>
      <c r="I7" s="133">
        <f>Исх!$C27*Производство!I$5</f>
        <v>19.32</v>
      </c>
      <c r="J7" s="133">
        <f>Исх!$C27*Производство!J$5</f>
        <v>19.32</v>
      </c>
      <c r="K7" s="133">
        <f>Исх!$C27*Производство!K$5</f>
        <v>22.080000000000002</v>
      </c>
      <c r="L7" s="133">
        <f>Исх!$C27*Производство!L$5</f>
        <v>22.080000000000002</v>
      </c>
      <c r="M7" s="133">
        <f>Исх!$C27*Производство!M$5</f>
        <v>24.840000000000003</v>
      </c>
      <c r="N7" s="133">
        <f>Исх!$C27*Производство!N$5</f>
        <v>24.840000000000003</v>
      </c>
      <c r="O7" s="133">
        <f>Исх!$C27*Производство!O$5</f>
        <v>24.840000000000003</v>
      </c>
      <c r="P7" s="129">
        <f>SUM(D7:O7)</f>
        <v>173.88000000000002</v>
      </c>
      <c r="Q7" s="133">
        <f>Исх!$C27*Производство!Q$5</f>
        <v>27.6</v>
      </c>
      <c r="R7" s="133">
        <f>Исх!$C27*Производство!R$5</f>
        <v>27.6</v>
      </c>
      <c r="S7" s="133">
        <f>Исх!$C27*Производство!S$5</f>
        <v>27.6</v>
      </c>
      <c r="T7" s="133">
        <f>Исх!$C27*Производство!T$5</f>
        <v>30.360000000000003</v>
      </c>
      <c r="U7" s="133">
        <f>Исх!$C27*Производство!U$5</f>
        <v>30.360000000000003</v>
      </c>
      <c r="V7" s="133">
        <f>Исх!$C27*Производство!V$5</f>
        <v>30.360000000000003</v>
      </c>
      <c r="W7" s="133">
        <f>Исх!$C27*Производство!W$5</f>
        <v>33.12</v>
      </c>
      <c r="X7" s="133">
        <f>Исх!$C27*Производство!X$5</f>
        <v>33.12</v>
      </c>
      <c r="Y7" s="133">
        <f>Исх!$C27*Производство!Y$5</f>
        <v>33.12</v>
      </c>
      <c r="Z7" s="133">
        <f>Исх!$C27*Производство!Z$5</f>
        <v>35.88</v>
      </c>
      <c r="AA7" s="133">
        <f>Исх!$C27*Производство!AA$5</f>
        <v>35.88</v>
      </c>
      <c r="AB7" s="133">
        <f>Исх!$C27*Производство!AB$5</f>
        <v>35.88</v>
      </c>
      <c r="AC7" s="129">
        <f>SUM(Q7:AB7)</f>
        <v>380.88</v>
      </c>
      <c r="AD7" s="133">
        <f>Исх!$C27*Производство!AD$5*12</f>
        <v>430.56000000000006</v>
      </c>
      <c r="AE7" s="133">
        <f>Исх!$C27*Производство!AE$5*12</f>
        <v>463.68</v>
      </c>
      <c r="AF7" s="133">
        <f>Исх!$C27*Производство!AF$5*12</f>
        <v>496.80000000000007</v>
      </c>
      <c r="AG7" s="133">
        <f>Исх!$C27*Производство!AG$5*12</f>
        <v>529.9200000000001</v>
      </c>
      <c r="AH7" s="133">
        <f>Исх!$C27*Производство!AH$5*12</f>
        <v>529.9200000000001</v>
      </c>
      <c r="AI7" s="252"/>
    </row>
    <row r="8" spans="1:35" ht="15" customHeight="1">
      <c r="A8" s="254" t="str">
        <f>Дох!A7</f>
        <v>Отруби</v>
      </c>
      <c r="B8" s="128">
        <f>P8+AC8+AD8+AE8+AF8+AG8+AH8</f>
        <v>2352.2399999999993</v>
      </c>
      <c r="C8" s="129"/>
      <c r="D8" s="133">
        <f>Исх!$C28*Производство!D$5</f>
        <v>0</v>
      </c>
      <c r="E8" s="133">
        <f>Исх!$C28*Производство!E$5</f>
        <v>0</v>
      </c>
      <c r="F8" s="133">
        <f>Исх!$C28*Производство!F$5</f>
        <v>0</v>
      </c>
      <c r="G8" s="133">
        <f>Исх!$C28*Производство!G$5</f>
        <v>0</v>
      </c>
      <c r="H8" s="133">
        <f>Исх!$C28*Производство!H$5</f>
        <v>12.959999999999999</v>
      </c>
      <c r="I8" s="133">
        <f>Исх!$C28*Производство!I$5</f>
        <v>15.119999999999997</v>
      </c>
      <c r="J8" s="133">
        <f>Исх!$C28*Производство!J$5</f>
        <v>15.119999999999997</v>
      </c>
      <c r="K8" s="133">
        <f>Исх!$C28*Производство!K$5</f>
        <v>17.279999999999998</v>
      </c>
      <c r="L8" s="133">
        <f>Исх!$C28*Производство!L$5</f>
        <v>17.279999999999998</v>
      </c>
      <c r="M8" s="133">
        <f>Исх!$C28*Производство!M$5</f>
        <v>19.439999999999998</v>
      </c>
      <c r="N8" s="133">
        <f>Исх!$C28*Производство!N$5</f>
        <v>19.439999999999998</v>
      </c>
      <c r="O8" s="133">
        <f>Исх!$C28*Производство!O$5</f>
        <v>19.439999999999998</v>
      </c>
      <c r="P8" s="129">
        <f>SUM(D8:O8)</f>
        <v>136.07999999999998</v>
      </c>
      <c r="Q8" s="133">
        <f>Исх!$C28*Производство!Q$5</f>
        <v>21.599999999999998</v>
      </c>
      <c r="R8" s="133">
        <f>Исх!$C28*Производство!R$5</f>
        <v>21.599999999999998</v>
      </c>
      <c r="S8" s="133">
        <f>Исх!$C28*Производство!S$5</f>
        <v>21.599999999999998</v>
      </c>
      <c r="T8" s="133">
        <f>Исх!$C28*Производство!T$5</f>
        <v>23.759999999999998</v>
      </c>
      <c r="U8" s="133">
        <f>Исх!$C28*Производство!U$5</f>
        <v>23.759999999999998</v>
      </c>
      <c r="V8" s="133">
        <f>Исх!$C28*Производство!V$5</f>
        <v>23.759999999999998</v>
      </c>
      <c r="W8" s="133">
        <f>Исх!$C28*Производство!W$5</f>
        <v>25.919999999999998</v>
      </c>
      <c r="X8" s="133">
        <f>Исх!$C28*Производство!X$5</f>
        <v>25.919999999999998</v>
      </c>
      <c r="Y8" s="133">
        <f>Исх!$C28*Производство!Y$5</f>
        <v>25.919999999999998</v>
      </c>
      <c r="Z8" s="133">
        <f>Исх!$C28*Производство!Z$5</f>
        <v>28.08</v>
      </c>
      <c r="AA8" s="133">
        <f>Исх!$C28*Производство!AA$5</f>
        <v>28.08</v>
      </c>
      <c r="AB8" s="133">
        <f>Исх!$C28*Производство!AB$5</f>
        <v>28.08</v>
      </c>
      <c r="AC8" s="129">
        <f>SUM(Q8:AB8)</f>
        <v>298.0799999999999</v>
      </c>
      <c r="AD8" s="133">
        <f>Исх!$C28*Производство!AD$5*12</f>
        <v>336.96</v>
      </c>
      <c r="AE8" s="133">
        <f>Исх!$C28*Производство!AE$5*12</f>
        <v>362.87999999999994</v>
      </c>
      <c r="AF8" s="133">
        <f>Исх!$C28*Производство!AF$5*12</f>
        <v>388.79999999999995</v>
      </c>
      <c r="AG8" s="133">
        <f>Исх!$C28*Производство!AG$5*12</f>
        <v>414.7199999999999</v>
      </c>
      <c r="AH8" s="133">
        <f>Исх!$C28*Производство!AH$5*12</f>
        <v>414.7199999999999</v>
      </c>
      <c r="AI8" s="252"/>
    </row>
    <row r="10" spans="1:35" ht="15" customHeight="1">
      <c r="A10" s="269" t="s">
        <v>266</v>
      </c>
      <c r="B10" s="128">
        <f>P10+AC10+AD10+AE10+AF10+AG10+AH10</f>
        <v>6534</v>
      </c>
      <c r="C10" s="128"/>
      <c r="D10" s="134">
        <f>Исх!$C$21*Исх!$C$22*Производство!D5</f>
        <v>0</v>
      </c>
      <c r="E10" s="134">
        <f>Исх!$C$21*Исх!$C$22*Производство!E5</f>
        <v>0</v>
      </c>
      <c r="F10" s="134">
        <f>Исх!$C$21*Исх!$C$22*Производство!F5</f>
        <v>0</v>
      </c>
      <c r="G10" s="134">
        <f>Исх!$C$21*Исх!$C$22*Производство!G5</f>
        <v>0</v>
      </c>
      <c r="H10" s="134">
        <f>Исх!$C$21*Исх!$C$22*Производство!H5</f>
        <v>36</v>
      </c>
      <c r="I10" s="134">
        <f>Исх!$C$21*Исх!$C$22*Производство!I5</f>
        <v>42</v>
      </c>
      <c r="J10" s="134">
        <f>Исх!$C$21*Исх!$C$22*Производство!J5</f>
        <v>42</v>
      </c>
      <c r="K10" s="134">
        <f>Исх!$C$21*Исх!$C$22*Производство!K5</f>
        <v>48</v>
      </c>
      <c r="L10" s="134">
        <f>Исх!$C$21*Исх!$C$22*Производство!L5</f>
        <v>48</v>
      </c>
      <c r="M10" s="134">
        <f>Исх!$C$21*Исх!$C$22*Производство!M5</f>
        <v>54</v>
      </c>
      <c r="N10" s="134">
        <f>Исх!$C$21*Исх!$C$22*Производство!N5</f>
        <v>54</v>
      </c>
      <c r="O10" s="134">
        <f>Исх!$C$21*Исх!$C$22*Производство!O5</f>
        <v>54</v>
      </c>
      <c r="P10" s="128">
        <f>SUM(D10:O10)</f>
        <v>378</v>
      </c>
      <c r="Q10" s="134">
        <f>Исх!$C$21*Исх!$C$22*Производство!Q5</f>
        <v>60</v>
      </c>
      <c r="R10" s="134">
        <f>Исх!$C$21*Исх!$C$22*Производство!R5</f>
        <v>60</v>
      </c>
      <c r="S10" s="134">
        <f>Исх!$C$21*Исх!$C$22*Производство!S5</f>
        <v>60</v>
      </c>
      <c r="T10" s="134">
        <f>Исх!$C$21*Исх!$C$22*Производство!T5</f>
        <v>66</v>
      </c>
      <c r="U10" s="134">
        <f>Исх!$C$21*Исх!$C$22*Производство!U5</f>
        <v>66</v>
      </c>
      <c r="V10" s="134">
        <f>Исх!$C$21*Исх!$C$22*Производство!V5</f>
        <v>66</v>
      </c>
      <c r="W10" s="134">
        <f>Исх!$C$21*Исх!$C$22*Производство!W5</f>
        <v>72</v>
      </c>
      <c r="X10" s="134">
        <f>Исх!$C$21*Исх!$C$22*Производство!X5</f>
        <v>72</v>
      </c>
      <c r="Y10" s="134">
        <f>Исх!$C$21*Исх!$C$22*Производство!Y5</f>
        <v>72</v>
      </c>
      <c r="Z10" s="134">
        <f>Исх!$C$21*Исх!$C$22*Производство!Z5</f>
        <v>78</v>
      </c>
      <c r="AA10" s="134">
        <f>Исх!$C$21*Исх!$C$22*Производство!AA5</f>
        <v>78</v>
      </c>
      <c r="AB10" s="134">
        <f>Исх!$C$21*Исх!$C$22*Производство!AB5</f>
        <v>78</v>
      </c>
      <c r="AC10" s="128">
        <f>SUM(Q10:AB10)</f>
        <v>828</v>
      </c>
      <c r="AD10" s="134">
        <f>Исх!$C$21*Исх!$C$22*Производство!AD5*12</f>
        <v>936</v>
      </c>
      <c r="AE10" s="134">
        <f>Исх!$C$21*Исх!$C$22*Производство!AE5*12</f>
        <v>1008</v>
      </c>
      <c r="AF10" s="134">
        <f>Исх!$C$21*Исх!$C$22*Производство!AF5*12</f>
        <v>1080</v>
      </c>
      <c r="AG10" s="134">
        <f>Исх!$C$21*Исх!$C$22*Производство!AG5*12</f>
        <v>1152</v>
      </c>
      <c r="AH10" s="134">
        <f>Исх!$C$21*Исх!$C$22*Производство!AH5*12</f>
        <v>1152</v>
      </c>
      <c r="AI10" s="252"/>
    </row>
    <row r="11" ht="12.75">
      <c r="B11" s="263"/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M31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22" sqref="D22"/>
    </sheetView>
  </sheetViews>
  <sheetFormatPr defaultColWidth="9.00390625" defaultRowHeight="12.75"/>
  <cols>
    <col min="1" max="1" width="5.625" style="78" customWidth="1"/>
    <col min="2" max="2" width="33.375" style="78" customWidth="1"/>
    <col min="3" max="3" width="10.00390625" style="78" customWidth="1"/>
    <col min="4" max="4" width="11.625" style="78" customWidth="1"/>
    <col min="5" max="5" width="12.75390625" style="78" customWidth="1"/>
    <col min="6" max="9" width="11.625" style="78" hidden="1" customWidth="1"/>
    <col min="10" max="10" width="10.125" style="78" customWidth="1"/>
    <col min="11" max="11" width="12.00390625" style="78" customWidth="1"/>
    <col min="12" max="16384" width="9.125" style="78" customWidth="1"/>
  </cols>
  <sheetData>
    <row r="1" ht="5.25" customHeight="1"/>
    <row r="2" spans="1:11" ht="16.5" customHeight="1">
      <c r="A2" s="62" t="s">
        <v>154</v>
      </c>
      <c r="D2" s="166"/>
      <c r="E2" s="166"/>
      <c r="F2" s="166"/>
      <c r="G2" s="166"/>
      <c r="H2" s="166"/>
      <c r="I2" s="166"/>
      <c r="J2" s="166"/>
      <c r="K2" s="147" t="str">
        <f>Исх!C9</f>
        <v>тыс.тг.</v>
      </c>
    </row>
    <row r="3" spans="1:11" ht="8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42" customHeight="1">
      <c r="A4" s="150" t="s">
        <v>36</v>
      </c>
      <c r="B4" s="151" t="s">
        <v>37</v>
      </c>
      <c r="C4" s="225" t="s">
        <v>38</v>
      </c>
      <c r="D4" s="152" t="s">
        <v>97</v>
      </c>
      <c r="E4" s="152" t="s">
        <v>98</v>
      </c>
      <c r="F4" s="152" t="s">
        <v>47</v>
      </c>
      <c r="G4" s="152" t="s">
        <v>48</v>
      </c>
      <c r="H4" s="152" t="s">
        <v>49</v>
      </c>
      <c r="I4" s="152" t="s">
        <v>50</v>
      </c>
      <c r="J4" s="152" t="s">
        <v>51</v>
      </c>
      <c r="K4" s="152" t="s">
        <v>45</v>
      </c>
    </row>
    <row r="5" spans="1:11" s="62" customFormat="1" ht="12.75">
      <c r="A5" s="143"/>
      <c r="B5" s="153" t="s">
        <v>96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2.75">
      <c r="A6" s="81">
        <v>1</v>
      </c>
      <c r="B6" s="81" t="s">
        <v>120</v>
      </c>
      <c r="C6" s="81">
        <v>1</v>
      </c>
      <c r="D6" s="145"/>
      <c r="E6" s="154">
        <f>C6*D6</f>
        <v>0</v>
      </c>
      <c r="F6" s="154">
        <f>E6*$C$26</f>
        <v>0</v>
      </c>
      <c r="G6" s="154">
        <f>(E6-$C$30-F6)*$C$28</f>
        <v>-1.5999</v>
      </c>
      <c r="H6" s="154">
        <f>(E6-F6)*$C$27</f>
        <v>0</v>
      </c>
      <c r="I6" s="154">
        <f>(E6-F6)*$C$29-H6</f>
        <v>0</v>
      </c>
      <c r="J6" s="154">
        <f>E6-F6-G6</f>
        <v>1.5999</v>
      </c>
      <c r="K6" s="155">
        <f>SUM(F6:J6)</f>
        <v>0</v>
      </c>
    </row>
    <row r="7" spans="1:11" ht="12.75">
      <c r="A7" s="81">
        <v>2</v>
      </c>
      <c r="B7" s="81" t="s">
        <v>236</v>
      </c>
      <c r="C7" s="81">
        <v>1</v>
      </c>
      <c r="D7" s="145">
        <v>70</v>
      </c>
      <c r="E7" s="154">
        <f>C7*D7</f>
        <v>70</v>
      </c>
      <c r="F7" s="154">
        <f>E7*$C$26</f>
        <v>7</v>
      </c>
      <c r="G7" s="154">
        <f>(E7-$C$30-F7)*$C$28</f>
        <v>4.7001</v>
      </c>
      <c r="H7" s="154">
        <f>(E7-F7)*$C$27</f>
        <v>0</v>
      </c>
      <c r="I7" s="154">
        <f>(E7-F7)*$C$29-H7</f>
        <v>0</v>
      </c>
      <c r="J7" s="154">
        <f>E7-F7-G7</f>
        <v>58.2999</v>
      </c>
      <c r="K7" s="155">
        <f>SUM(F7:J7)</f>
        <v>70</v>
      </c>
    </row>
    <row r="8" spans="1:11" ht="12.75">
      <c r="A8" s="81">
        <v>3</v>
      </c>
      <c r="B8" s="81" t="s">
        <v>237</v>
      </c>
      <c r="C8" s="81">
        <v>1</v>
      </c>
      <c r="D8" s="145">
        <v>70</v>
      </c>
      <c r="E8" s="154">
        <f>C8*D8</f>
        <v>70</v>
      </c>
      <c r="F8" s="154">
        <f>E8*$C$26</f>
        <v>7</v>
      </c>
      <c r="G8" s="154">
        <f>(E8-$C$30-F8)*$C$28</f>
        <v>4.7001</v>
      </c>
      <c r="H8" s="154">
        <f>(E8-F8)*$C$27</f>
        <v>0</v>
      </c>
      <c r="I8" s="154">
        <f>(E8-F8)*$C$29-H8</f>
        <v>0</v>
      </c>
      <c r="J8" s="154">
        <f>E8-F8-G8</f>
        <v>58.2999</v>
      </c>
      <c r="K8" s="155">
        <f>SUM(F8:J8)</f>
        <v>70</v>
      </c>
    </row>
    <row r="9" spans="1:11" ht="12.75">
      <c r="A9" s="81">
        <v>4</v>
      </c>
      <c r="B9" s="81" t="s">
        <v>264</v>
      </c>
      <c r="C9" s="81">
        <v>1</v>
      </c>
      <c r="D9" s="145">
        <v>60</v>
      </c>
      <c r="E9" s="154">
        <f>C9*D9</f>
        <v>60</v>
      </c>
      <c r="F9" s="154">
        <f>E9*$C$26</f>
        <v>6</v>
      </c>
      <c r="G9" s="154">
        <f>(E9-$C$30-F9)*$C$28</f>
        <v>3.8001</v>
      </c>
      <c r="H9" s="154">
        <f>(E9-F9)*$C$27</f>
        <v>0</v>
      </c>
      <c r="I9" s="154">
        <f>(E9-F9)*$C$29-H9</f>
        <v>0</v>
      </c>
      <c r="J9" s="154">
        <f>E9-F9-G9</f>
        <v>50.1999</v>
      </c>
      <c r="K9" s="155">
        <f>SUM(F9:J9)</f>
        <v>60</v>
      </c>
    </row>
    <row r="10" spans="1:11" s="62" customFormat="1" ht="12.75">
      <c r="A10" s="156"/>
      <c r="B10" s="156" t="s">
        <v>0</v>
      </c>
      <c r="C10" s="31">
        <f aca="true" t="shared" si="0" ref="C10:K10">SUM(C6:C9)</f>
        <v>4</v>
      </c>
      <c r="D10" s="31">
        <f t="shared" si="0"/>
        <v>200</v>
      </c>
      <c r="E10" s="31">
        <f t="shared" si="0"/>
        <v>200</v>
      </c>
      <c r="F10" s="31">
        <f t="shared" si="0"/>
        <v>20</v>
      </c>
      <c r="G10" s="31">
        <f t="shared" si="0"/>
        <v>11.6004</v>
      </c>
      <c r="H10" s="31">
        <f t="shared" si="0"/>
        <v>0</v>
      </c>
      <c r="I10" s="31">
        <f t="shared" si="0"/>
        <v>0</v>
      </c>
      <c r="J10" s="31">
        <f t="shared" si="0"/>
        <v>168.39960000000002</v>
      </c>
      <c r="K10" s="31">
        <f t="shared" si="0"/>
        <v>200</v>
      </c>
    </row>
    <row r="11" spans="1:11" s="62" customFormat="1" ht="12.75">
      <c r="A11" s="143"/>
      <c r="B11" s="143" t="s">
        <v>103</v>
      </c>
      <c r="C11" s="143"/>
      <c r="D11" s="144"/>
      <c r="E11" s="144"/>
      <c r="F11" s="144"/>
      <c r="G11" s="144"/>
      <c r="H11" s="144"/>
      <c r="I11" s="144"/>
      <c r="J11" s="144"/>
      <c r="K11" s="144"/>
    </row>
    <row r="12" spans="1:11" ht="12.75">
      <c r="A12" s="81">
        <v>1</v>
      </c>
      <c r="B12" s="81" t="s">
        <v>263</v>
      </c>
      <c r="C12" s="154">
        <v>2</v>
      </c>
      <c r="D12" s="145">
        <v>60</v>
      </c>
      <c r="E12" s="154">
        <f>C12*D12</f>
        <v>120</v>
      </c>
      <c r="F12" s="154">
        <f>E12*$C$26</f>
        <v>12</v>
      </c>
      <c r="G12" s="154">
        <f>(E12-$C$30-F12)*$C$28</f>
        <v>9.2001</v>
      </c>
      <c r="H12" s="154">
        <f>(E12-F12)*$C$27</f>
        <v>0</v>
      </c>
      <c r="I12" s="154">
        <f>(E12-F12)*$C$29-H12</f>
        <v>0</v>
      </c>
      <c r="J12" s="154">
        <f>E12-F12-G12</f>
        <v>98.7999</v>
      </c>
      <c r="K12" s="155">
        <f>SUM(F12:J12)</f>
        <v>120</v>
      </c>
    </row>
    <row r="13" spans="1:11" ht="12.75">
      <c r="A13" s="81">
        <v>2</v>
      </c>
      <c r="B13" s="81" t="s">
        <v>234</v>
      </c>
      <c r="C13" s="154">
        <v>1</v>
      </c>
      <c r="D13" s="145">
        <v>60</v>
      </c>
      <c r="E13" s="154">
        <f>C13*D13</f>
        <v>60</v>
      </c>
      <c r="F13" s="154">
        <f>E13*$C$26</f>
        <v>6</v>
      </c>
      <c r="G13" s="154">
        <f>(E13-$C$30-F13)*$C$28</f>
        <v>3.8001</v>
      </c>
      <c r="H13" s="154">
        <f>(E13-F13)*$C$27</f>
        <v>0</v>
      </c>
      <c r="I13" s="154">
        <f>(E13-F13)*$C$29-H13</f>
        <v>0</v>
      </c>
      <c r="J13" s="154">
        <f>E13-F13-G13</f>
        <v>50.1999</v>
      </c>
      <c r="K13" s="155">
        <f>SUM(F13:J13)</f>
        <v>60</v>
      </c>
    </row>
    <row r="14" spans="1:11" s="62" customFormat="1" ht="12.75">
      <c r="A14" s="156"/>
      <c r="B14" s="157" t="s">
        <v>0</v>
      </c>
      <c r="C14" s="156">
        <f aca="true" t="shared" si="1" ref="C14:K14">SUM(C11:C13)</f>
        <v>3</v>
      </c>
      <c r="D14" s="155">
        <f t="shared" si="1"/>
        <v>120</v>
      </c>
      <c r="E14" s="155">
        <f t="shared" si="1"/>
        <v>180</v>
      </c>
      <c r="F14" s="155">
        <f t="shared" si="1"/>
        <v>18</v>
      </c>
      <c r="G14" s="155">
        <f t="shared" si="1"/>
        <v>13.000200000000001</v>
      </c>
      <c r="H14" s="155">
        <f t="shared" si="1"/>
        <v>0</v>
      </c>
      <c r="I14" s="155">
        <f t="shared" si="1"/>
        <v>0</v>
      </c>
      <c r="J14" s="155">
        <f t="shared" si="1"/>
        <v>148.9998</v>
      </c>
      <c r="K14" s="155">
        <f t="shared" si="1"/>
        <v>180</v>
      </c>
    </row>
    <row r="15" spans="1:11" s="62" customFormat="1" ht="12.75">
      <c r="A15" s="143"/>
      <c r="B15" s="143" t="s">
        <v>104</v>
      </c>
      <c r="C15" s="143"/>
      <c r="D15" s="144"/>
      <c r="E15" s="144"/>
      <c r="F15" s="144"/>
      <c r="G15" s="144"/>
      <c r="H15" s="144"/>
      <c r="I15" s="144"/>
      <c r="J15" s="144"/>
      <c r="K15" s="144"/>
    </row>
    <row r="16" spans="1:11" ht="12.75">
      <c r="A16" s="81">
        <v>1</v>
      </c>
      <c r="B16" s="81" t="s">
        <v>235</v>
      </c>
      <c r="C16" s="81">
        <v>2</v>
      </c>
      <c r="D16" s="145">
        <v>60</v>
      </c>
      <c r="E16" s="154">
        <f>C16*D16</f>
        <v>120</v>
      </c>
      <c r="F16" s="154">
        <f>E16*$C$26</f>
        <v>12</v>
      </c>
      <c r="G16" s="154">
        <f>(E16-$C$30-F16)*$C$28</f>
        <v>9.2001</v>
      </c>
      <c r="H16" s="154">
        <f>(E16-F16)*$C$27</f>
        <v>0</v>
      </c>
      <c r="I16" s="154">
        <f>(E16-F16)*$C$29-H16</f>
        <v>0</v>
      </c>
      <c r="J16" s="154">
        <f>E16-F16-G16</f>
        <v>98.7999</v>
      </c>
      <c r="K16" s="155">
        <f>SUM(F16:J16)</f>
        <v>120</v>
      </c>
    </row>
    <row r="17" spans="1:11" ht="12.75" hidden="1">
      <c r="A17" s="81"/>
      <c r="B17" s="81"/>
      <c r="C17" s="81"/>
      <c r="D17" s="145"/>
      <c r="E17" s="154">
        <f>C17*D17</f>
        <v>0</v>
      </c>
      <c r="F17" s="154">
        <f>E17*$C$26</f>
        <v>0</v>
      </c>
      <c r="G17" s="154">
        <f>(E17-$C$30-F17)*$C$28</f>
        <v>-1.5999</v>
      </c>
      <c r="H17" s="154">
        <f>(E17-F17)*$C$27</f>
        <v>0</v>
      </c>
      <c r="I17" s="154">
        <f>(E17-F17)*$C$29-H17</f>
        <v>0</v>
      </c>
      <c r="J17" s="154">
        <f>E17-F17-G17</f>
        <v>1.5999</v>
      </c>
      <c r="K17" s="155">
        <f>SUM(F17:J17)</f>
        <v>0</v>
      </c>
    </row>
    <row r="18" spans="1:11" s="62" customFormat="1" ht="12.75">
      <c r="A18" s="156"/>
      <c r="B18" s="157" t="s">
        <v>0</v>
      </c>
      <c r="C18" s="156">
        <f aca="true" t="shared" si="2" ref="C18:K18">SUM(C16:C17)</f>
        <v>2</v>
      </c>
      <c r="D18" s="155">
        <f t="shared" si="2"/>
        <v>60</v>
      </c>
      <c r="E18" s="155">
        <f t="shared" si="2"/>
        <v>120</v>
      </c>
      <c r="F18" s="155">
        <f t="shared" si="2"/>
        <v>12</v>
      </c>
      <c r="G18" s="155">
        <f t="shared" si="2"/>
        <v>7.600200000000001</v>
      </c>
      <c r="H18" s="155">
        <f t="shared" si="2"/>
        <v>0</v>
      </c>
      <c r="I18" s="155">
        <f t="shared" si="2"/>
        <v>0</v>
      </c>
      <c r="J18" s="155">
        <f t="shared" si="2"/>
        <v>100.3998</v>
      </c>
      <c r="K18" s="155">
        <f t="shared" si="2"/>
        <v>120</v>
      </c>
    </row>
    <row r="19" spans="1:11" s="62" customFormat="1" ht="12.75">
      <c r="A19" s="143"/>
      <c r="B19" s="143" t="s">
        <v>113</v>
      </c>
      <c r="C19" s="143"/>
      <c r="D19" s="144"/>
      <c r="E19" s="144"/>
      <c r="F19" s="144"/>
      <c r="G19" s="144"/>
      <c r="H19" s="144"/>
      <c r="I19" s="144"/>
      <c r="J19" s="144"/>
      <c r="K19" s="144"/>
    </row>
    <row r="20" spans="1:13" ht="12.75">
      <c r="A20" s="81">
        <v>1</v>
      </c>
      <c r="B20" s="81" t="s">
        <v>121</v>
      </c>
      <c r="C20" s="81">
        <v>1</v>
      </c>
      <c r="D20" s="145">
        <v>40</v>
      </c>
      <c r="E20" s="154">
        <f>C20*D20</f>
        <v>40</v>
      </c>
      <c r="F20" s="154">
        <f>E20*$C$26</f>
        <v>4</v>
      </c>
      <c r="G20" s="154">
        <f>(E20-$C$30-F20)*$C$28</f>
        <v>2.0000999999999998</v>
      </c>
      <c r="H20" s="154">
        <f>(E20-F20)*$C$27</f>
        <v>0</v>
      </c>
      <c r="I20" s="154">
        <f>(E20-F20)*$C$29-H20</f>
        <v>0</v>
      </c>
      <c r="J20" s="154">
        <f>E20-F20-G20</f>
        <v>33.9999</v>
      </c>
      <c r="K20" s="155">
        <f>SUM(F20:J20)</f>
        <v>40</v>
      </c>
      <c r="M20" s="158"/>
    </row>
    <row r="21" spans="1:11" ht="12.75" hidden="1">
      <c r="A21" s="81"/>
      <c r="B21" s="81"/>
      <c r="C21" s="81"/>
      <c r="D21" s="145"/>
      <c r="E21" s="154">
        <f>C21*D21</f>
        <v>0</v>
      </c>
      <c r="F21" s="154">
        <f>E21*$C$26</f>
        <v>0</v>
      </c>
      <c r="G21" s="154">
        <f>(E21-$C$30-F21)*$C$28</f>
        <v>-1.5999</v>
      </c>
      <c r="H21" s="154">
        <f>(E21-F21)*$C$27</f>
        <v>0</v>
      </c>
      <c r="I21" s="154">
        <f>(E21-F21)*$C$29-H21</f>
        <v>0</v>
      </c>
      <c r="J21" s="154">
        <f>E21-F21-G21</f>
        <v>1.5999</v>
      </c>
      <c r="K21" s="155">
        <f>SUM(F21:J21)</f>
        <v>0</v>
      </c>
    </row>
    <row r="22" spans="1:11" s="62" customFormat="1" ht="12.75">
      <c r="A22" s="156"/>
      <c r="B22" s="157" t="s">
        <v>0</v>
      </c>
      <c r="C22" s="156">
        <f aca="true" t="shared" si="3" ref="C22:K22">SUM(C20:C21)</f>
        <v>1</v>
      </c>
      <c r="D22" s="155">
        <f t="shared" si="3"/>
        <v>40</v>
      </c>
      <c r="E22" s="155">
        <f t="shared" si="3"/>
        <v>40</v>
      </c>
      <c r="F22" s="155">
        <f t="shared" si="3"/>
        <v>4</v>
      </c>
      <c r="G22" s="155">
        <f t="shared" si="3"/>
        <v>0.40019999999999967</v>
      </c>
      <c r="H22" s="155">
        <f t="shared" si="3"/>
        <v>0</v>
      </c>
      <c r="I22" s="155">
        <f t="shared" si="3"/>
        <v>0</v>
      </c>
      <c r="J22" s="155">
        <f t="shared" si="3"/>
        <v>35.599799999999995</v>
      </c>
      <c r="K22" s="155">
        <f t="shared" si="3"/>
        <v>40</v>
      </c>
    </row>
    <row r="23" spans="1:11" ht="12.75">
      <c r="A23" s="81"/>
      <c r="B23" s="81"/>
      <c r="C23" s="81"/>
      <c r="D23" s="154"/>
      <c r="E23" s="154"/>
      <c r="F23" s="154"/>
      <c r="G23" s="154"/>
      <c r="H23" s="154"/>
      <c r="I23" s="154"/>
      <c r="J23" s="154"/>
      <c r="K23" s="154"/>
    </row>
    <row r="24" spans="1:13" s="62" customFormat="1" ht="12.75">
      <c r="A24" s="156"/>
      <c r="B24" s="156" t="s">
        <v>114</v>
      </c>
      <c r="C24" s="155">
        <f aca="true" t="shared" si="4" ref="C24:K24">C10+C14+C18+C22</f>
        <v>10</v>
      </c>
      <c r="D24" s="155">
        <f t="shared" si="4"/>
        <v>420</v>
      </c>
      <c r="E24" s="155">
        <f t="shared" si="4"/>
        <v>540</v>
      </c>
      <c r="F24" s="155">
        <f t="shared" si="4"/>
        <v>54</v>
      </c>
      <c r="G24" s="155">
        <f t="shared" si="4"/>
        <v>32.601</v>
      </c>
      <c r="H24" s="155">
        <f t="shared" si="4"/>
        <v>0</v>
      </c>
      <c r="I24" s="155">
        <f t="shared" si="4"/>
        <v>0</v>
      </c>
      <c r="J24" s="155">
        <f t="shared" si="4"/>
        <v>453.39900000000006</v>
      </c>
      <c r="K24" s="159">
        <f t="shared" si="4"/>
        <v>540</v>
      </c>
      <c r="M24" s="263"/>
    </row>
    <row r="26" spans="2:10" ht="12.75" hidden="1">
      <c r="B26" s="81" t="s">
        <v>47</v>
      </c>
      <c r="C26" s="160">
        <f>Исх!C11</f>
        <v>0.1</v>
      </c>
      <c r="D26" s="161"/>
      <c r="E26" s="161"/>
      <c r="F26" s="161"/>
      <c r="G26" s="303"/>
      <c r="H26" s="303"/>
      <c r="I26" s="303"/>
      <c r="J26" s="303"/>
    </row>
    <row r="27" spans="2:10" ht="12.75" hidden="1">
      <c r="B27" s="81" t="s">
        <v>52</v>
      </c>
      <c r="C27" s="160">
        <f>Исх!C12</f>
        <v>0</v>
      </c>
      <c r="D27" s="161"/>
      <c r="E27" s="161"/>
      <c r="F27" s="161"/>
      <c r="G27" s="161"/>
      <c r="H27" s="161"/>
      <c r="I27" s="162"/>
      <c r="J27" s="163"/>
    </row>
    <row r="28" spans="2:10" ht="12.75" hidden="1">
      <c r="B28" s="81" t="s">
        <v>48</v>
      </c>
      <c r="C28" s="160">
        <f>Исх!C13</f>
        <v>0.1</v>
      </c>
      <c r="D28" s="161"/>
      <c r="E28" s="161"/>
      <c r="F28" s="161"/>
      <c r="G28" s="161"/>
      <c r="H28" s="161"/>
      <c r="I28" s="162"/>
      <c r="J28" s="163"/>
    </row>
    <row r="29" spans="2:10" ht="12.75" hidden="1">
      <c r="B29" s="81" t="s">
        <v>50</v>
      </c>
      <c r="C29" s="160">
        <f>Исх!C14</f>
        <v>0</v>
      </c>
      <c r="D29" s="164"/>
      <c r="E29" s="164"/>
      <c r="F29" s="161"/>
      <c r="G29" s="161"/>
      <c r="H29" s="161"/>
      <c r="I29" s="162"/>
      <c r="J29" s="163"/>
    </row>
    <row r="30" spans="2:3" ht="12.75" hidden="1">
      <c r="B30" s="81" t="s">
        <v>119</v>
      </c>
      <c r="C30" s="165">
        <f>Исх!C15</f>
        <v>15.999</v>
      </c>
    </row>
    <row r="31" spans="7:10" ht="12.75">
      <c r="G31" s="161"/>
      <c r="H31" s="161"/>
      <c r="I31" s="162"/>
      <c r="J31" s="163"/>
    </row>
  </sheetData>
  <sheetProtection/>
  <mergeCells count="1">
    <mergeCell ref="G26:J26"/>
  </mergeCells>
  <printOptions/>
  <pageMargins left="0.2755905511811024" right="0.2755905511811024" top="0.35433070866141736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L50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B55" sqref="B55"/>
    </sheetView>
  </sheetViews>
  <sheetFormatPr defaultColWidth="8.875" defaultRowHeight="12.75" outlineLevelRow="1"/>
  <cols>
    <col min="1" max="1" width="33.625" style="78" customWidth="1"/>
    <col min="2" max="2" width="13.125" style="78" customWidth="1"/>
    <col min="3" max="9" width="7.875" style="78" customWidth="1"/>
    <col min="10" max="16384" width="8.875" style="78" customWidth="1"/>
  </cols>
  <sheetData>
    <row r="1" ht="12.75">
      <c r="A1" s="62" t="s">
        <v>158</v>
      </c>
    </row>
    <row r="2" ht="12.75">
      <c r="A2" s="62"/>
    </row>
    <row r="3" spans="1:11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3:9" ht="12.75">
      <c r="C4" s="141"/>
      <c r="D4" s="141"/>
      <c r="E4" s="141"/>
      <c r="F4" s="141"/>
      <c r="G4" s="141"/>
      <c r="H4" s="141"/>
      <c r="I4" s="147" t="str">
        <f>Исх!C9</f>
        <v>тыс.тг.</v>
      </c>
    </row>
    <row r="5" spans="1:9" ht="12.75">
      <c r="A5" s="223" t="s">
        <v>44</v>
      </c>
      <c r="B5" s="246"/>
      <c r="C5" s="246">
        <v>2012</v>
      </c>
      <c r="D5" s="246">
        <v>2013</v>
      </c>
      <c r="E5" s="246">
        <f>D5+1</f>
        <v>2014</v>
      </c>
      <c r="F5" s="246">
        <f>E5+1</f>
        <v>2015</v>
      </c>
      <c r="G5" s="246">
        <f>F5+1</f>
        <v>2016</v>
      </c>
      <c r="H5" s="246">
        <f>G5+1</f>
        <v>2017</v>
      </c>
      <c r="I5" s="246">
        <f>H5+1</f>
        <v>2018</v>
      </c>
    </row>
    <row r="6" spans="1:9" ht="12.75">
      <c r="A6" s="81" t="s">
        <v>279</v>
      </c>
      <c r="B6" s="146"/>
      <c r="C6" s="154">
        <f>ФОТ!K24</f>
        <v>540</v>
      </c>
      <c r="D6" s="154">
        <f aca="true" t="shared" si="0" ref="D6:I6">C6</f>
        <v>540</v>
      </c>
      <c r="E6" s="154">
        <f t="shared" si="0"/>
        <v>540</v>
      </c>
      <c r="F6" s="154">
        <f t="shared" si="0"/>
        <v>540</v>
      </c>
      <c r="G6" s="154">
        <f t="shared" si="0"/>
        <v>540</v>
      </c>
      <c r="H6" s="154">
        <f t="shared" si="0"/>
        <v>540</v>
      </c>
      <c r="I6" s="154">
        <f t="shared" si="0"/>
        <v>540</v>
      </c>
    </row>
    <row r="7" spans="1:10" ht="25.5">
      <c r="A7" s="167" t="s">
        <v>226</v>
      </c>
      <c r="B7" s="243" t="s">
        <v>238</v>
      </c>
      <c r="C7" s="145">
        <f>150*750/1000</f>
        <v>112.5</v>
      </c>
      <c r="D7" s="154">
        <f aca="true" t="shared" si="1" ref="D7:I8">C7+C7*$D$3</f>
        <v>112.5</v>
      </c>
      <c r="E7" s="154">
        <f t="shared" si="1"/>
        <v>112.5</v>
      </c>
      <c r="F7" s="154">
        <f t="shared" si="1"/>
        <v>112.5</v>
      </c>
      <c r="G7" s="154">
        <f t="shared" si="1"/>
        <v>112.5</v>
      </c>
      <c r="H7" s="154">
        <f t="shared" si="1"/>
        <v>112.5</v>
      </c>
      <c r="I7" s="154">
        <f t="shared" si="1"/>
        <v>112.5</v>
      </c>
      <c r="J7" s="78" t="s">
        <v>244</v>
      </c>
    </row>
    <row r="8" spans="1:9" ht="12.75">
      <c r="A8" s="167" t="s">
        <v>239</v>
      </c>
      <c r="B8" s="243" t="s">
        <v>265</v>
      </c>
      <c r="C8" s="145">
        <f>1*20*22*110/1000</f>
        <v>48.4</v>
      </c>
      <c r="D8" s="154">
        <f t="shared" si="1"/>
        <v>48.4</v>
      </c>
      <c r="E8" s="154">
        <f t="shared" si="1"/>
        <v>48.4</v>
      </c>
      <c r="F8" s="154">
        <f t="shared" si="1"/>
        <v>48.4</v>
      </c>
      <c r="G8" s="154">
        <f t="shared" si="1"/>
        <v>48.4</v>
      </c>
      <c r="H8" s="154">
        <f t="shared" si="1"/>
        <v>48.4</v>
      </c>
      <c r="I8" s="154">
        <f t="shared" si="1"/>
        <v>48.4</v>
      </c>
    </row>
    <row r="9" spans="1:9" ht="12.75">
      <c r="A9" s="167" t="s">
        <v>267</v>
      </c>
      <c r="B9" s="243" t="s">
        <v>268</v>
      </c>
      <c r="C9" s="145">
        <f>35*22*Исх!$C$21*8.63/1000*Производство!$P$5</f>
        <v>46.5157</v>
      </c>
      <c r="D9" s="154">
        <f>35*22*Исх!$C$21*8.63/1000*Производство!AC5</f>
        <v>76.41865</v>
      </c>
      <c r="E9" s="154">
        <f>35*22*Исх!$C$21*8.63/1000*Производство!AD5</f>
        <v>86.38629999999999</v>
      </c>
      <c r="F9" s="154">
        <f>35*22*Исх!$C$21*8.63/1000*Производство!AE5</f>
        <v>93.03139999999999</v>
      </c>
      <c r="G9" s="154">
        <f>35*22*Исх!$C$21*8.63/1000*Производство!AF5</f>
        <v>99.67649999999999</v>
      </c>
      <c r="H9" s="154">
        <f>35*22*Исх!$C$21*8.63/1000*Производство!AG5</f>
        <v>106.32159999999999</v>
      </c>
      <c r="I9" s="154">
        <f>35*22*Исх!$C$21*8.63/1000*Производство!AH5</f>
        <v>106.32159999999999</v>
      </c>
    </row>
    <row r="10" spans="1:9" ht="12.75">
      <c r="A10" s="167" t="s">
        <v>115</v>
      </c>
      <c r="B10" s="146"/>
      <c r="C10" s="145">
        <v>2</v>
      </c>
      <c r="D10" s="154">
        <f aca="true" t="shared" si="2" ref="D10:I15">C10+C10*$D$3</f>
        <v>2</v>
      </c>
      <c r="E10" s="154">
        <f t="shared" si="2"/>
        <v>2</v>
      </c>
      <c r="F10" s="154">
        <f t="shared" si="2"/>
        <v>2</v>
      </c>
      <c r="G10" s="154">
        <f t="shared" si="2"/>
        <v>2</v>
      </c>
      <c r="H10" s="154">
        <f t="shared" si="2"/>
        <v>2</v>
      </c>
      <c r="I10" s="154">
        <f t="shared" si="2"/>
        <v>2</v>
      </c>
    </row>
    <row r="11" spans="1:9" ht="12.75">
      <c r="A11" s="81" t="s">
        <v>243</v>
      </c>
      <c r="B11" s="146"/>
      <c r="C11" s="145">
        <v>10</v>
      </c>
      <c r="D11" s="154">
        <f aca="true" t="shared" si="3" ref="D11:I11">C11+C11*$D$3</f>
        <v>10</v>
      </c>
      <c r="E11" s="154">
        <f t="shared" si="3"/>
        <v>10</v>
      </c>
      <c r="F11" s="154">
        <f t="shared" si="3"/>
        <v>10</v>
      </c>
      <c r="G11" s="154">
        <f t="shared" si="3"/>
        <v>10</v>
      </c>
      <c r="H11" s="154">
        <f t="shared" si="3"/>
        <v>10</v>
      </c>
      <c r="I11" s="154">
        <f t="shared" si="3"/>
        <v>10</v>
      </c>
    </row>
    <row r="12" spans="1:9" ht="12.75">
      <c r="A12" s="81" t="s">
        <v>105</v>
      </c>
      <c r="B12" s="146"/>
      <c r="C12" s="145">
        <v>7</v>
      </c>
      <c r="D12" s="154">
        <f t="shared" si="2"/>
        <v>7</v>
      </c>
      <c r="E12" s="154">
        <f t="shared" si="2"/>
        <v>7</v>
      </c>
      <c r="F12" s="154">
        <f t="shared" si="2"/>
        <v>7</v>
      </c>
      <c r="G12" s="154">
        <f t="shared" si="2"/>
        <v>7</v>
      </c>
      <c r="H12" s="154">
        <f t="shared" si="2"/>
        <v>7</v>
      </c>
      <c r="I12" s="154">
        <f t="shared" si="2"/>
        <v>7</v>
      </c>
    </row>
    <row r="13" spans="1:9" ht="12.75">
      <c r="A13" s="81" t="s">
        <v>106</v>
      </c>
      <c r="B13" s="146"/>
      <c r="C13" s="145">
        <v>2</v>
      </c>
      <c r="D13" s="154">
        <f aca="true" t="shared" si="4" ref="D13:I13">C13+C13*$D$3</f>
        <v>2</v>
      </c>
      <c r="E13" s="154">
        <f t="shared" si="4"/>
        <v>2</v>
      </c>
      <c r="F13" s="154">
        <f t="shared" si="4"/>
        <v>2</v>
      </c>
      <c r="G13" s="154">
        <f t="shared" si="4"/>
        <v>2</v>
      </c>
      <c r="H13" s="154">
        <f t="shared" si="4"/>
        <v>2</v>
      </c>
      <c r="I13" s="154">
        <f t="shared" si="4"/>
        <v>2</v>
      </c>
    </row>
    <row r="14" spans="1:9" ht="12.75">
      <c r="A14" s="81" t="s">
        <v>80</v>
      </c>
      <c r="B14" s="146"/>
      <c r="C14" s="145">
        <v>10</v>
      </c>
      <c r="D14" s="154">
        <f t="shared" si="2"/>
        <v>10</v>
      </c>
      <c r="E14" s="154">
        <f t="shared" si="2"/>
        <v>10</v>
      </c>
      <c r="F14" s="154">
        <f t="shared" si="2"/>
        <v>10</v>
      </c>
      <c r="G14" s="154">
        <f t="shared" si="2"/>
        <v>10</v>
      </c>
      <c r="H14" s="154">
        <f t="shared" si="2"/>
        <v>10</v>
      </c>
      <c r="I14" s="154">
        <f t="shared" si="2"/>
        <v>10</v>
      </c>
    </row>
    <row r="15" spans="1:9" ht="12.75">
      <c r="A15" s="81" t="s">
        <v>46</v>
      </c>
      <c r="B15" s="154"/>
      <c r="C15" s="145">
        <v>15</v>
      </c>
      <c r="D15" s="154">
        <f t="shared" si="2"/>
        <v>15</v>
      </c>
      <c r="E15" s="154">
        <f t="shared" si="2"/>
        <v>15</v>
      </c>
      <c r="F15" s="154">
        <f t="shared" si="2"/>
        <v>15</v>
      </c>
      <c r="G15" s="154">
        <f t="shared" si="2"/>
        <v>15</v>
      </c>
      <c r="H15" s="154">
        <f t="shared" si="2"/>
        <v>15</v>
      </c>
      <c r="I15" s="154">
        <f t="shared" si="2"/>
        <v>15</v>
      </c>
    </row>
    <row r="16" spans="1:12" ht="12.75">
      <c r="A16" s="223" t="s">
        <v>0</v>
      </c>
      <c r="B16" s="224"/>
      <c r="C16" s="224">
        <f aca="true" t="shared" si="5" ref="C16:I16">SUM(C6:C15)</f>
        <v>793.4157</v>
      </c>
      <c r="D16" s="224">
        <f t="shared" si="5"/>
        <v>823.3186499999999</v>
      </c>
      <c r="E16" s="224">
        <f t="shared" si="5"/>
        <v>833.2863</v>
      </c>
      <c r="F16" s="224">
        <f t="shared" si="5"/>
        <v>839.9313999999999</v>
      </c>
      <c r="G16" s="224">
        <f t="shared" si="5"/>
        <v>846.5765</v>
      </c>
      <c r="H16" s="224">
        <f t="shared" si="5"/>
        <v>853.2216</v>
      </c>
      <c r="I16" s="224">
        <f t="shared" si="5"/>
        <v>853.2216</v>
      </c>
      <c r="L16" s="263"/>
    </row>
    <row r="18" spans="1:9" ht="12.75">
      <c r="A18" s="62" t="s">
        <v>81</v>
      </c>
      <c r="C18" s="169">
        <f aca="true" t="shared" si="6" ref="C18:I18">SUM(C19:C19)</f>
        <v>1.62</v>
      </c>
      <c r="D18" s="169">
        <f t="shared" si="6"/>
        <v>1.62</v>
      </c>
      <c r="E18" s="169">
        <f t="shared" si="6"/>
        <v>1.62</v>
      </c>
      <c r="F18" s="169">
        <f t="shared" si="6"/>
        <v>1.62</v>
      </c>
      <c r="G18" s="169">
        <f t="shared" si="6"/>
        <v>1.62</v>
      </c>
      <c r="H18" s="169">
        <f t="shared" si="6"/>
        <v>1.62</v>
      </c>
      <c r="I18" s="169">
        <f t="shared" si="6"/>
        <v>1.62</v>
      </c>
    </row>
    <row r="19" spans="1:9" ht="25.5">
      <c r="A19" s="167" t="s">
        <v>82</v>
      </c>
      <c r="B19" s="170">
        <v>0.003</v>
      </c>
      <c r="C19" s="171">
        <f aca="true" t="shared" si="7" ref="C19:I19">C6*$B$19</f>
        <v>1.62</v>
      </c>
      <c r="D19" s="171">
        <f t="shared" si="7"/>
        <v>1.62</v>
      </c>
      <c r="E19" s="171">
        <f t="shared" si="7"/>
        <v>1.62</v>
      </c>
      <c r="F19" s="171">
        <f t="shared" si="7"/>
        <v>1.62</v>
      </c>
      <c r="G19" s="171">
        <f t="shared" si="7"/>
        <v>1.62</v>
      </c>
      <c r="H19" s="171">
        <f t="shared" si="7"/>
        <v>1.62</v>
      </c>
      <c r="I19" s="171">
        <f t="shared" si="7"/>
        <v>1.62</v>
      </c>
    </row>
    <row r="21" spans="1:9" ht="12.75">
      <c r="A21" s="62" t="s">
        <v>83</v>
      </c>
      <c r="C21" s="172">
        <f>SUM(C22:C23)</f>
        <v>1.764</v>
      </c>
      <c r="D21" s="172">
        <f aca="true" t="shared" si="8" ref="D21:I21">SUM(D22:D23)</f>
        <v>1.764</v>
      </c>
      <c r="E21" s="172">
        <f t="shared" si="8"/>
        <v>1.764</v>
      </c>
      <c r="F21" s="172">
        <f t="shared" si="8"/>
        <v>1.764</v>
      </c>
      <c r="G21" s="172">
        <f t="shared" si="8"/>
        <v>1.764</v>
      </c>
      <c r="H21" s="172">
        <f t="shared" si="8"/>
        <v>1.764</v>
      </c>
      <c r="I21" s="172">
        <f t="shared" si="8"/>
        <v>1.764</v>
      </c>
    </row>
    <row r="22" spans="1:9" ht="12.75">
      <c r="A22" s="81" t="s">
        <v>2</v>
      </c>
      <c r="B22" s="173">
        <f>Исх!C16</f>
        <v>0.015</v>
      </c>
      <c r="C22" s="154">
        <f>(C35+C38)/2*$B$22/12</f>
        <v>0</v>
      </c>
      <c r="D22" s="154">
        <f aca="true" t="shared" si="9" ref="D22:I22">(D35+D38)/2*$B$22/12</f>
        <v>0</v>
      </c>
      <c r="E22" s="154">
        <f t="shared" si="9"/>
        <v>0</v>
      </c>
      <c r="F22" s="154">
        <f t="shared" si="9"/>
        <v>0</v>
      </c>
      <c r="G22" s="154">
        <f t="shared" si="9"/>
        <v>0</v>
      </c>
      <c r="H22" s="154">
        <f t="shared" si="9"/>
        <v>0</v>
      </c>
      <c r="I22" s="154">
        <f t="shared" si="9"/>
        <v>0</v>
      </c>
    </row>
    <row r="23" spans="1:9" ht="12.75">
      <c r="A23" s="81" t="s">
        <v>107</v>
      </c>
      <c r="B23" s="81"/>
      <c r="C23" s="145">
        <f>10584*2/1000/12</f>
        <v>1.764</v>
      </c>
      <c r="D23" s="154">
        <f aca="true" t="shared" si="10" ref="D23:I23">C23+C23*$D$3</f>
        <v>1.764</v>
      </c>
      <c r="E23" s="154">
        <f t="shared" si="10"/>
        <v>1.764</v>
      </c>
      <c r="F23" s="154">
        <f t="shared" si="10"/>
        <v>1.764</v>
      </c>
      <c r="G23" s="154">
        <f t="shared" si="10"/>
        <v>1.764</v>
      </c>
      <c r="H23" s="154">
        <f t="shared" si="10"/>
        <v>1.764</v>
      </c>
      <c r="I23" s="154">
        <f t="shared" si="10"/>
        <v>1.764</v>
      </c>
    </row>
    <row r="25" ht="12.75">
      <c r="C25" s="174"/>
    </row>
    <row r="26" spans="1:9" ht="12.75">
      <c r="A26" s="304" t="s">
        <v>84</v>
      </c>
      <c r="B26" s="304"/>
      <c r="C26" s="304"/>
      <c r="D26" s="304"/>
      <c r="E26" s="304"/>
      <c r="F26" s="305"/>
      <c r="G26" s="178"/>
      <c r="H26" s="178"/>
      <c r="I26" s="178"/>
    </row>
    <row r="27" spans="1:9" ht="12.75">
      <c r="A27" s="223" t="s">
        <v>90</v>
      </c>
      <c r="B27" s="273"/>
      <c r="C27" s="246">
        <v>1</v>
      </c>
      <c r="D27" s="246">
        <f aca="true" t="shared" si="11" ref="D27:I27">C27+1</f>
        <v>2</v>
      </c>
      <c r="E27" s="246">
        <f t="shared" si="11"/>
        <v>3</v>
      </c>
      <c r="F27" s="246">
        <f t="shared" si="11"/>
        <v>4</v>
      </c>
      <c r="G27" s="272">
        <f t="shared" si="11"/>
        <v>5</v>
      </c>
      <c r="H27" s="272">
        <f t="shared" si="11"/>
        <v>6</v>
      </c>
      <c r="I27" s="272">
        <f t="shared" si="11"/>
        <v>7</v>
      </c>
    </row>
    <row r="28" spans="1:9" ht="12.75">
      <c r="A28" s="81" t="s">
        <v>85</v>
      </c>
      <c r="B28" s="175"/>
      <c r="C28" s="81"/>
      <c r="D28" s="81"/>
      <c r="E28" s="81"/>
      <c r="F28" s="81"/>
      <c r="G28" s="81"/>
      <c r="H28" s="81"/>
      <c r="I28" s="81"/>
    </row>
    <row r="29" spans="1:9" ht="12.75">
      <c r="A29" s="81" t="s">
        <v>86</v>
      </c>
      <c r="B29" s="176"/>
      <c r="C29" s="154">
        <f>C35+C41+C47</f>
        <v>12309</v>
      </c>
      <c r="D29" s="154">
        <f aca="true" t="shared" si="12" ref="D29:I29">D35+D41+D47</f>
        <v>11078.1</v>
      </c>
      <c r="E29" s="154">
        <f t="shared" si="12"/>
        <v>9847.2</v>
      </c>
      <c r="F29" s="154">
        <f t="shared" si="12"/>
        <v>8616.3</v>
      </c>
      <c r="G29" s="154">
        <f t="shared" si="12"/>
        <v>7385.4</v>
      </c>
      <c r="H29" s="154">
        <f t="shared" si="12"/>
        <v>6154.5</v>
      </c>
      <c r="I29" s="154">
        <f t="shared" si="12"/>
        <v>4923.599999999999</v>
      </c>
    </row>
    <row r="30" spans="1:9" ht="12.75">
      <c r="A30" s="81" t="s">
        <v>87</v>
      </c>
      <c r="B30" s="176"/>
      <c r="C30" s="154">
        <f>C36+C42+C48</f>
        <v>0</v>
      </c>
      <c r="D30" s="154">
        <f aca="true" t="shared" si="13" ref="D30:I30">D36+D42+D48</f>
        <v>0</v>
      </c>
      <c r="E30" s="154">
        <f t="shared" si="13"/>
        <v>0</v>
      </c>
      <c r="F30" s="154">
        <f t="shared" si="13"/>
        <v>0</v>
      </c>
      <c r="G30" s="154">
        <f t="shared" si="13"/>
        <v>0</v>
      </c>
      <c r="H30" s="154">
        <f t="shared" si="13"/>
        <v>0</v>
      </c>
      <c r="I30" s="154">
        <f t="shared" si="13"/>
        <v>0</v>
      </c>
    </row>
    <row r="31" spans="1:9" ht="12.75">
      <c r="A31" s="156" t="s">
        <v>88</v>
      </c>
      <c r="B31" s="156"/>
      <c r="C31" s="155">
        <f>C37+C43+C49</f>
        <v>1230.9</v>
      </c>
      <c r="D31" s="155">
        <f aca="true" t="shared" si="14" ref="D31:I31">D37+D43+D49</f>
        <v>1230.9</v>
      </c>
      <c r="E31" s="155">
        <f t="shared" si="14"/>
        <v>1230.9</v>
      </c>
      <c r="F31" s="155">
        <f t="shared" si="14"/>
        <v>1230.9</v>
      </c>
      <c r="G31" s="155">
        <f t="shared" si="14"/>
        <v>1230.9</v>
      </c>
      <c r="H31" s="155">
        <f t="shared" si="14"/>
        <v>1230.9</v>
      </c>
      <c r="I31" s="155">
        <f t="shared" si="14"/>
        <v>1230.9</v>
      </c>
    </row>
    <row r="32" spans="1:9" ht="12.75">
      <c r="A32" s="81" t="s">
        <v>89</v>
      </c>
      <c r="B32" s="176"/>
      <c r="C32" s="154">
        <f aca="true" t="shared" si="15" ref="C32:I32">C29+C30-C31</f>
        <v>11078.1</v>
      </c>
      <c r="D32" s="154">
        <f t="shared" si="15"/>
        <v>9847.2</v>
      </c>
      <c r="E32" s="154">
        <f t="shared" si="15"/>
        <v>8616.300000000001</v>
      </c>
      <c r="F32" s="154">
        <f t="shared" si="15"/>
        <v>7385.4</v>
      </c>
      <c r="G32" s="154">
        <f t="shared" si="15"/>
        <v>6154.5</v>
      </c>
      <c r="H32" s="154">
        <f t="shared" si="15"/>
        <v>4923.6</v>
      </c>
      <c r="I32" s="154">
        <f t="shared" si="15"/>
        <v>3692.6999999999994</v>
      </c>
    </row>
    <row r="33" spans="1:9" ht="12.75" hidden="1" outlineLevel="1">
      <c r="A33" s="270" t="s">
        <v>116</v>
      </c>
      <c r="B33" s="271"/>
      <c r="C33" s="246"/>
      <c r="D33" s="246"/>
      <c r="E33" s="246"/>
      <c r="F33" s="246"/>
      <c r="G33" s="246"/>
      <c r="H33" s="246"/>
      <c r="I33" s="246"/>
    </row>
    <row r="34" spans="1:9" ht="12.75" hidden="1" outlineLevel="1">
      <c r="A34" s="81" t="s">
        <v>85</v>
      </c>
      <c r="B34" s="177">
        <v>0.05</v>
      </c>
      <c r="C34" s="81"/>
      <c r="D34" s="81"/>
      <c r="E34" s="81"/>
      <c r="F34" s="81"/>
      <c r="G34" s="81"/>
      <c r="H34" s="81"/>
      <c r="I34" s="81"/>
    </row>
    <row r="35" spans="1:9" ht="12.75" hidden="1" outlineLevel="1">
      <c r="A35" s="81" t="s">
        <v>86</v>
      </c>
      <c r="B35" s="176"/>
      <c r="C35" s="146">
        <f>Инв!C20</f>
        <v>0</v>
      </c>
      <c r="D35" s="154">
        <f aca="true" t="shared" si="16" ref="D35:I35">C38</f>
        <v>0</v>
      </c>
      <c r="E35" s="154">
        <f t="shared" si="16"/>
        <v>0</v>
      </c>
      <c r="F35" s="154">
        <f t="shared" si="16"/>
        <v>0</v>
      </c>
      <c r="G35" s="154">
        <f t="shared" si="16"/>
        <v>0</v>
      </c>
      <c r="H35" s="154">
        <f t="shared" si="16"/>
        <v>0</v>
      </c>
      <c r="I35" s="154">
        <f t="shared" si="16"/>
        <v>0</v>
      </c>
    </row>
    <row r="36" spans="1:9" ht="12.75" hidden="1" outlineLevel="1">
      <c r="A36" s="81" t="s">
        <v>87</v>
      </c>
      <c r="B36" s="176"/>
      <c r="C36" s="154"/>
      <c r="D36" s="154"/>
      <c r="E36" s="154"/>
      <c r="F36" s="154"/>
      <c r="G36" s="154"/>
      <c r="H36" s="154"/>
      <c r="I36" s="154"/>
    </row>
    <row r="37" spans="1:9" ht="12.75" hidden="1" outlineLevel="1">
      <c r="A37" s="156" t="s">
        <v>88</v>
      </c>
      <c r="B37" s="156"/>
      <c r="C37" s="155">
        <f aca="true" t="shared" si="17" ref="C37:I37">$C35*$B34</f>
        <v>0</v>
      </c>
      <c r="D37" s="155">
        <f t="shared" si="17"/>
        <v>0</v>
      </c>
      <c r="E37" s="155">
        <f t="shared" si="17"/>
        <v>0</v>
      </c>
      <c r="F37" s="155">
        <f t="shared" si="17"/>
        <v>0</v>
      </c>
      <c r="G37" s="155">
        <f t="shared" si="17"/>
        <v>0</v>
      </c>
      <c r="H37" s="155">
        <f t="shared" si="17"/>
        <v>0</v>
      </c>
      <c r="I37" s="155">
        <f t="shared" si="17"/>
        <v>0</v>
      </c>
    </row>
    <row r="38" spans="1:9" ht="12.75" hidden="1" outlineLevel="1">
      <c r="A38" s="81" t="s">
        <v>89</v>
      </c>
      <c r="B38" s="176"/>
      <c r="C38" s="154">
        <f aca="true" t="shared" si="18" ref="C38:I38">C35+C36-C37</f>
        <v>0</v>
      </c>
      <c r="D38" s="154">
        <f t="shared" si="18"/>
        <v>0</v>
      </c>
      <c r="E38" s="154">
        <f t="shared" si="18"/>
        <v>0</v>
      </c>
      <c r="F38" s="154">
        <f t="shared" si="18"/>
        <v>0</v>
      </c>
      <c r="G38" s="154">
        <f t="shared" si="18"/>
        <v>0</v>
      </c>
      <c r="H38" s="154">
        <f t="shared" si="18"/>
        <v>0</v>
      </c>
      <c r="I38" s="154">
        <f t="shared" si="18"/>
        <v>0</v>
      </c>
    </row>
    <row r="39" spans="1:9" ht="12.75" hidden="1" outlineLevel="1">
      <c r="A39" s="270" t="s">
        <v>111</v>
      </c>
      <c r="B39" s="271"/>
      <c r="C39" s="246"/>
      <c r="D39" s="246"/>
      <c r="E39" s="246"/>
      <c r="F39" s="246"/>
      <c r="G39" s="246"/>
      <c r="H39" s="246"/>
      <c r="I39" s="246"/>
    </row>
    <row r="40" spans="1:9" ht="12.75" hidden="1" outlineLevel="1">
      <c r="A40" s="81" t="s">
        <v>85</v>
      </c>
      <c r="B40" s="177">
        <v>0.1</v>
      </c>
      <c r="C40" s="81"/>
      <c r="D40" s="81"/>
      <c r="E40" s="81"/>
      <c r="F40" s="81"/>
      <c r="G40" s="81"/>
      <c r="H40" s="81"/>
      <c r="I40" s="81"/>
    </row>
    <row r="41" spans="1:9" ht="12.75" hidden="1" outlineLevel="1">
      <c r="A41" s="81" t="s">
        <v>86</v>
      </c>
      <c r="B41" s="176"/>
      <c r="C41" s="154">
        <f>Инв!C21</f>
        <v>9355</v>
      </c>
      <c r="D41" s="154">
        <f aca="true" t="shared" si="19" ref="D41:I41">C44</f>
        <v>8419.5</v>
      </c>
      <c r="E41" s="154">
        <f t="shared" si="19"/>
        <v>7484</v>
      </c>
      <c r="F41" s="154">
        <f t="shared" si="19"/>
        <v>6548.5</v>
      </c>
      <c r="G41" s="154">
        <f t="shared" si="19"/>
        <v>5613</v>
      </c>
      <c r="H41" s="154">
        <f t="shared" si="19"/>
        <v>4677.5</v>
      </c>
      <c r="I41" s="154">
        <f t="shared" si="19"/>
        <v>3742</v>
      </c>
    </row>
    <row r="42" spans="1:9" ht="12.75" hidden="1" outlineLevel="1">
      <c r="A42" s="81" t="s">
        <v>87</v>
      </c>
      <c r="B42" s="176"/>
      <c r="C42" s="154"/>
      <c r="D42" s="154"/>
      <c r="E42" s="154"/>
      <c r="F42" s="154"/>
      <c r="G42" s="154"/>
      <c r="H42" s="154"/>
      <c r="I42" s="154"/>
    </row>
    <row r="43" spans="1:9" ht="12.75" hidden="1" outlineLevel="1">
      <c r="A43" s="156" t="s">
        <v>88</v>
      </c>
      <c r="B43" s="156"/>
      <c r="C43" s="155">
        <f aca="true" t="shared" si="20" ref="C43:I43">$C41*$B40</f>
        <v>935.5</v>
      </c>
      <c r="D43" s="155">
        <f t="shared" si="20"/>
        <v>935.5</v>
      </c>
      <c r="E43" s="155">
        <f t="shared" si="20"/>
        <v>935.5</v>
      </c>
      <c r="F43" s="155">
        <f t="shared" si="20"/>
        <v>935.5</v>
      </c>
      <c r="G43" s="155">
        <f t="shared" si="20"/>
        <v>935.5</v>
      </c>
      <c r="H43" s="155">
        <f t="shared" si="20"/>
        <v>935.5</v>
      </c>
      <c r="I43" s="155">
        <f t="shared" si="20"/>
        <v>935.5</v>
      </c>
    </row>
    <row r="44" spans="1:9" ht="12.75" hidden="1" outlineLevel="1">
      <c r="A44" s="81" t="s">
        <v>89</v>
      </c>
      <c r="B44" s="176"/>
      <c r="C44" s="154">
        <f aca="true" t="shared" si="21" ref="C44:I44">C41+C42-C43</f>
        <v>8419.5</v>
      </c>
      <c r="D44" s="154">
        <f t="shared" si="21"/>
        <v>7484</v>
      </c>
      <c r="E44" s="154">
        <f t="shared" si="21"/>
        <v>6548.5</v>
      </c>
      <c r="F44" s="154">
        <f t="shared" si="21"/>
        <v>5613</v>
      </c>
      <c r="G44" s="154">
        <f t="shared" si="21"/>
        <v>4677.5</v>
      </c>
      <c r="H44" s="154">
        <f t="shared" si="21"/>
        <v>3742</v>
      </c>
      <c r="I44" s="154">
        <f t="shared" si="21"/>
        <v>2806.5</v>
      </c>
    </row>
    <row r="45" spans="1:9" ht="12.75" hidden="1" outlineLevel="1">
      <c r="A45" s="270" t="s">
        <v>211</v>
      </c>
      <c r="B45" s="271"/>
      <c r="C45" s="246"/>
      <c r="D45" s="246"/>
      <c r="E45" s="246"/>
      <c r="F45" s="246"/>
      <c r="G45" s="246"/>
      <c r="H45" s="246"/>
      <c r="I45" s="246"/>
    </row>
    <row r="46" spans="1:9" ht="12.75" hidden="1" outlineLevel="1">
      <c r="A46" s="81" t="s">
        <v>85</v>
      </c>
      <c r="B46" s="177">
        <v>0.1</v>
      </c>
      <c r="C46" s="81"/>
      <c r="D46" s="81"/>
      <c r="E46" s="81"/>
      <c r="F46" s="81"/>
      <c r="G46" s="81"/>
      <c r="H46" s="81"/>
      <c r="I46" s="81"/>
    </row>
    <row r="47" spans="1:9" ht="12.75" hidden="1" outlineLevel="1">
      <c r="A47" s="81" t="s">
        <v>86</v>
      </c>
      <c r="B47" s="176"/>
      <c r="C47" s="154">
        <f>Инв!C22</f>
        <v>2954</v>
      </c>
      <c r="D47" s="154">
        <f aca="true" t="shared" si="22" ref="D47:I47">C50</f>
        <v>2658.6</v>
      </c>
      <c r="E47" s="154">
        <f t="shared" si="22"/>
        <v>2363.2</v>
      </c>
      <c r="F47" s="154">
        <f t="shared" si="22"/>
        <v>2067.7999999999997</v>
      </c>
      <c r="G47" s="154">
        <f t="shared" si="22"/>
        <v>1772.3999999999996</v>
      </c>
      <c r="H47" s="154">
        <f t="shared" si="22"/>
        <v>1476.9999999999995</v>
      </c>
      <c r="I47" s="154">
        <f t="shared" si="22"/>
        <v>1181.5999999999995</v>
      </c>
    </row>
    <row r="48" spans="1:9" ht="12.75" hidden="1" outlineLevel="1">
      <c r="A48" s="81" t="s">
        <v>87</v>
      </c>
      <c r="B48" s="176"/>
      <c r="C48" s="154"/>
      <c r="D48" s="154"/>
      <c r="E48" s="154"/>
      <c r="F48" s="154"/>
      <c r="G48" s="154"/>
      <c r="H48" s="154"/>
      <c r="I48" s="154"/>
    </row>
    <row r="49" spans="1:9" ht="12.75" hidden="1" outlineLevel="1">
      <c r="A49" s="156" t="s">
        <v>88</v>
      </c>
      <c r="B49" s="156"/>
      <c r="C49" s="155">
        <f aca="true" t="shared" si="23" ref="C49:I49">$C47*$B46</f>
        <v>295.40000000000003</v>
      </c>
      <c r="D49" s="155">
        <f t="shared" si="23"/>
        <v>295.40000000000003</v>
      </c>
      <c r="E49" s="155">
        <f t="shared" si="23"/>
        <v>295.40000000000003</v>
      </c>
      <c r="F49" s="155">
        <f t="shared" si="23"/>
        <v>295.40000000000003</v>
      </c>
      <c r="G49" s="155">
        <f t="shared" si="23"/>
        <v>295.40000000000003</v>
      </c>
      <c r="H49" s="155">
        <f t="shared" si="23"/>
        <v>295.40000000000003</v>
      </c>
      <c r="I49" s="155">
        <f t="shared" si="23"/>
        <v>295.40000000000003</v>
      </c>
    </row>
    <row r="50" spans="1:9" ht="12.75" hidden="1" outlineLevel="1">
      <c r="A50" s="81" t="s">
        <v>89</v>
      </c>
      <c r="B50" s="176"/>
      <c r="C50" s="154">
        <f aca="true" t="shared" si="24" ref="C50:I50">C47+C48-C49</f>
        <v>2658.6</v>
      </c>
      <c r="D50" s="154">
        <f t="shared" si="24"/>
        <v>2363.2</v>
      </c>
      <c r="E50" s="154">
        <f t="shared" si="24"/>
        <v>2067.7999999999997</v>
      </c>
      <c r="F50" s="154">
        <f t="shared" si="24"/>
        <v>1772.3999999999996</v>
      </c>
      <c r="G50" s="154">
        <f t="shared" si="24"/>
        <v>1476.9999999999995</v>
      </c>
      <c r="H50" s="154">
        <f t="shared" si="24"/>
        <v>1181.5999999999995</v>
      </c>
      <c r="I50" s="154">
        <f t="shared" si="24"/>
        <v>886.1999999999994</v>
      </c>
    </row>
    <row r="51" ht="12.75" collapsed="1"/>
  </sheetData>
  <sheetProtection/>
  <mergeCells count="1">
    <mergeCell ref="A26:F26"/>
  </mergeCells>
  <printOptions/>
  <pageMargins left="0.75" right="0.75" top="0.3" bottom="1.2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2011-12-17T08:30:04Z</cp:lastPrinted>
  <dcterms:created xsi:type="dcterms:W3CDTF">2006-03-01T15:11:19Z</dcterms:created>
  <dcterms:modified xsi:type="dcterms:W3CDTF">2011-12-17T08:34:04Z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