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33" activeTab="11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Расх перем" sheetId="6" r:id="rId6"/>
    <sheet name="ФОТ" sheetId="7" r:id="rId7"/>
    <sheet name="Пост" sheetId="8" r:id="rId8"/>
    <sheet name="кр" sheetId="9" r:id="rId9"/>
    <sheet name="Инв" sheetId="10" r:id="rId10"/>
    <sheet name="безубыт" sheetId="11" r:id="rId11"/>
    <sheet name="для текста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7">#REF!</definedName>
    <definedName name="Ed." localSheetId="5">#REF!</definedName>
    <definedName name="Ed." localSheetId="6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8">'[32]Главн'!$D$44</definedName>
    <definedName name="imush1">'[21]Главн'!$D$44</definedName>
    <definedName name="imush2" localSheetId="2">'[46]Главн'!$E$44</definedName>
    <definedName name="imush2" localSheetId="8">'[32]Главн'!$E$44</definedName>
    <definedName name="imush2">'[21]Главн'!$E$44</definedName>
    <definedName name="imush3" localSheetId="2">'[46]Главн'!$F$44</definedName>
    <definedName name="imush3" localSheetId="8">'[32]Главн'!$F$44</definedName>
    <definedName name="imush3">'[21]Главн'!$F$44</definedName>
    <definedName name="imush4" localSheetId="2">'[46]Главн'!$G$44</definedName>
    <definedName name="imush4" localSheetId="8">'[32]Главн'!$G$44</definedName>
    <definedName name="imush4">'[21]Главн'!$G$44</definedName>
    <definedName name="imush5" localSheetId="2">'[46]Главн'!$H$44</definedName>
    <definedName name="imush5" localSheetId="8">'[32]Главн'!$H$44</definedName>
    <definedName name="imush5">'[21]Главн'!$H$44</definedName>
    <definedName name="imush6" localSheetId="2">'[46]Главн'!$I$44</definedName>
    <definedName name="imush6" localSheetId="8">'[32]Главн'!$I$44</definedName>
    <definedName name="imush6">'[21]Главн'!$I$44</definedName>
    <definedName name="imush7" localSheetId="2">'[46]Главн'!$J$44</definedName>
    <definedName name="imush7" localSheetId="8">'[32]Главн'!$J$44</definedName>
    <definedName name="imush7">'[21]Главн'!$J$44</definedName>
    <definedName name="imush8" localSheetId="2">'[46]Главн'!$K$44</definedName>
    <definedName name="imush8" localSheetId="8">'[32]Главн'!$K$44</definedName>
    <definedName name="imush8">'[21]Главн'!$K$44</definedName>
    <definedName name="inf" localSheetId="2">'[46]Главн'!$C$35</definedName>
    <definedName name="inf" localSheetId="8">'[32]Главн'!$C$35</definedName>
    <definedName name="inf">'[21]Главн'!$C$35</definedName>
    <definedName name="kpn1" localSheetId="8">'[32]Главн'!$D$46</definedName>
    <definedName name="kpn1">'[21]Главн'!$D$46</definedName>
    <definedName name="kpn2" localSheetId="8">'[32]Главн'!$E$46</definedName>
    <definedName name="kpn2">'[21]Главн'!$E$46</definedName>
    <definedName name="kpn3" localSheetId="8">'[32]Главн'!$F$46</definedName>
    <definedName name="kpn3">'[21]Главн'!$F$46</definedName>
    <definedName name="kpn4" localSheetId="8">'[32]Главн'!$G$46</definedName>
    <definedName name="kpn4">'[21]Главн'!$G$46</definedName>
    <definedName name="kpn5" localSheetId="8">'[32]Главн'!$H$46</definedName>
    <definedName name="kpn5">'[21]Главн'!$H$46</definedName>
    <definedName name="kpn6" localSheetId="8">'[32]Главн'!$I$46</definedName>
    <definedName name="kpn6">'[21]Главн'!$I$46</definedName>
    <definedName name="kpn7" localSheetId="8">'[32]Главн'!$J$46</definedName>
    <definedName name="kpn7">'[21]Главн'!$J$46</definedName>
    <definedName name="kpn8" localSheetId="8">'[32]Главн'!$K$46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8">'[32]Главн'!$C$31</definedName>
    <definedName name="kurs2">'[21]Главн'!$C$31</definedName>
    <definedName name="lgot1" localSheetId="2">'[46]Главн'!$D$41</definedName>
    <definedName name="lgot1" localSheetId="8">'[32]Главн'!$D$41</definedName>
    <definedName name="lgot1">'[21]Главн'!$D$41</definedName>
    <definedName name="lgot2" localSheetId="2">'[46]Главн'!$E$41</definedName>
    <definedName name="lgot2" localSheetId="8">'[32]Главн'!$E$41</definedName>
    <definedName name="lgot2">'[21]Главн'!$E$41</definedName>
    <definedName name="lgot3" localSheetId="2">'[46]Главн'!$F$41</definedName>
    <definedName name="lgot3" localSheetId="8">'[32]Главн'!$F$41</definedName>
    <definedName name="lgot3">'[21]Главн'!$F$41</definedName>
    <definedName name="lgot4" localSheetId="2">'[46]Главн'!$G$41</definedName>
    <definedName name="lgot4" localSheetId="8">'[32]Главн'!$G$41</definedName>
    <definedName name="lgot4">'[21]Главн'!$G$41</definedName>
    <definedName name="lgot5" localSheetId="2">'[46]Главн'!$H$41</definedName>
    <definedName name="lgot5" localSheetId="8">'[32]Главн'!$H$41</definedName>
    <definedName name="lgot5">'[21]Главн'!$H$41</definedName>
    <definedName name="name" localSheetId="2">'[46]Главн'!$C$2</definedName>
    <definedName name="name" localSheetId="8">'[32]Главн'!$C$2</definedName>
    <definedName name="name">'[21]Главн'!$C$2</definedName>
    <definedName name="nds1" localSheetId="8">'[32]Главн'!$D$42</definedName>
    <definedName name="nds1">'[21]Главн'!$D$42</definedName>
    <definedName name="nds2" localSheetId="8">'[32]Главн'!$E$42</definedName>
    <definedName name="nds2">'[21]Главн'!$E$42</definedName>
    <definedName name="nds3" localSheetId="8">'[32]Главн'!$F$42</definedName>
    <definedName name="nds3">'[21]Главн'!$F$42</definedName>
    <definedName name="nds4" localSheetId="8">'[32]Главн'!$G$42</definedName>
    <definedName name="nds4">'[21]Главн'!$G$42</definedName>
    <definedName name="nds5" localSheetId="8">'[32]Главн'!$H$42</definedName>
    <definedName name="nds5">'[21]Главн'!$H$42</definedName>
    <definedName name="nds6" localSheetId="8">'[32]Главн'!$I$42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8">'[32]Амортиз'!$F$125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7">'[7]Свод'!#REF!</definedName>
    <definedName name="RUR" localSheetId="5">'[7]Свод'!#REF!</definedName>
    <definedName name="RUR" localSheetId="6">'[7]Свод'!#REF!</definedName>
    <definedName name="RUR">'[7]Свод'!#REF!</definedName>
    <definedName name="USD" localSheetId="8">'[7]Свод'!#REF!</definedName>
    <definedName name="USD">'[12]Осн. пара'!$C$4</definedName>
    <definedName name="valuta" localSheetId="2">'[46]Главн'!$C$21</definedName>
    <definedName name="valuta" localSheetId="8">'[32]Главн'!$C$21</definedName>
    <definedName name="valuta">'[21]Главн'!$C$21</definedName>
    <definedName name="valuta2" localSheetId="2">'[46]Главн'!$C$19</definedName>
    <definedName name="valuta2" localSheetId="8">'[32]Главн'!$C$19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8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8">'[34]объекты обществаКокшетау'!#REF!</definedName>
    <definedName name="баланс_стоимость" localSheetId="7">'[23]объекты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6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8">#REF!</definedName>
    <definedName name="Вал">#REF!</definedName>
    <definedName name="ВалП1" localSheetId="2">#REF!</definedName>
    <definedName name="ВалП1" localSheetId="4">#REF!</definedName>
    <definedName name="ВалП1" localSheetId="7">#REF!</definedName>
    <definedName name="ВалП1" localSheetId="5">#REF!</definedName>
    <definedName name="ВалП1" localSheetId="6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8">'[32]Invest'!$C$7:$C$240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8">'[32]Граф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8">'[34]объекты обществаКокшетау'!#REF!</definedName>
    <definedName name="всего_долл" localSheetId="7">'[23]объекты обществаКокшетау'!#REF!</definedName>
    <definedName name="всего_долл" localSheetId="5">'[23]объекты обществаКокшетау'!#REF!</definedName>
    <definedName name="всего_долл" localSheetId="6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8">'[35]Исх'!$C$16</definedName>
    <definedName name="долл" localSheetId="7">#REF!</definedName>
    <definedName name="долл" localSheetId="5">#REF!</definedName>
    <definedName name="долл" localSheetId="6">'ФОТ'!#REF!</definedName>
    <definedName name="долл">#REF!</definedName>
    <definedName name="доллар" localSheetId="2">'[49]Параметры'!$C$18</definedName>
    <definedName name="доллар" localSheetId="8">'[36]Параметры'!$C$18</definedName>
    <definedName name="доллар">'[25]Параметры'!$C$18</definedName>
    <definedName name="дох" localSheetId="2">#REF!</definedName>
    <definedName name="дох" localSheetId="8">#REF!</definedName>
    <definedName name="дох">#REF!</definedName>
    <definedName name="дсша" localSheetId="2">#REF!</definedName>
    <definedName name="дсша" localSheetId="4">#REF!</definedName>
    <definedName name="дсша" localSheetId="8">#REF!</definedName>
    <definedName name="дсша" localSheetId="7">#REF!</definedName>
    <definedName name="дсша" localSheetId="5">#REF!</definedName>
    <definedName name="дсша" localSheetId="6">#REF!</definedName>
    <definedName name="дсша">#REF!</definedName>
    <definedName name="дт" localSheetId="2">'[50]пост. пар.'!$C$13</definedName>
    <definedName name="дт" localSheetId="8">'[37]пост.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1">'[8]Общ_Д'!$B$16</definedName>
    <definedName name="евро">#REF!</definedName>
    <definedName name="ждд" localSheetId="2">#REF!</definedName>
    <definedName name="ждд" localSheetId="8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9">'Инв'!$4:$4</definedName>
    <definedName name="_xlnm.Print_Titles" localSheetId="8">'кр'!$A:$B</definedName>
    <definedName name="_xlnm.Print_Titles" localSheetId="6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8">'[32]Главн'!$C$8</definedName>
    <definedName name="Инвестор1">'[21]Главн'!$C$8</definedName>
    <definedName name="Инвестор2" localSheetId="2">'[46]Главн'!$C$9</definedName>
    <definedName name="Инвестор2" localSheetId="8">'[32]Главн'!$C$9</definedName>
    <definedName name="Инвестор2">'[21]Главн'!$C$9</definedName>
    <definedName name="Инвестор3" localSheetId="2">'[46]Главн'!$C$10</definedName>
    <definedName name="Инвестор3" localSheetId="8">'[32]Главн'!$C$10</definedName>
    <definedName name="Инвестор3">'[21]Главн'!$C$10</definedName>
    <definedName name="инициатор" localSheetId="2">'[46]Главн'!$C$7</definedName>
    <definedName name="инициатор" localSheetId="8">'[32]Главн'!$C$7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7">#REF!</definedName>
    <definedName name="Инт" localSheetId="5">#REF!</definedName>
    <definedName name="Инт" localSheetId="6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8">'[34]объекты обществаКокшетау'!#REF!</definedName>
    <definedName name="итого_в_долл" localSheetId="7">'[23]объекты обществаКокшетау'!#REF!</definedName>
    <definedName name="итого_в_долл" localSheetId="5">'[23]объекты обществаКокшетау'!#REF!</definedName>
    <definedName name="итого_в_долл" localSheetId="6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8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7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8">'[5]Осн.показ'!$D$15</definedName>
    <definedName name="кндс" localSheetId="7">#REF!</definedName>
    <definedName name="кндс" localSheetId="5">#REF!</definedName>
    <definedName name="кндс" localSheetId="6">'ФОТ'!#REF!</definedName>
    <definedName name="кндс">#REF!</definedName>
    <definedName name="кндс1" localSheetId="2">'[51]Исх'!$C$8</definedName>
    <definedName name="кндс1" localSheetId="10">'[17]Исх'!$C$8</definedName>
    <definedName name="кндс1" localSheetId="8">'[35]Исх'!$C$8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7">#REF!</definedName>
    <definedName name="компресс" localSheetId="5">#REF!</definedName>
    <definedName name="компресс" localSheetId="6">#REF!</definedName>
    <definedName name="компресс">#REF!</definedName>
    <definedName name="кре" localSheetId="2">#REF!</definedName>
    <definedName name="кре" localSheetId="8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7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7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7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0">'[19]Данные,рентаб'!$C$23</definedName>
    <definedName name="Курс" localSheetId="8">'[13]Перем. затраты'!$P$45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8">'[39]константы'!$A$15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8">'[34]объекты обществаКокшетау'!#REF!</definedName>
    <definedName name="курс_НБРК" localSheetId="7">'[23]объекты обществаКокшетау'!#REF!</definedName>
    <definedName name="курс_НБРК" localSheetId="5">'[23]объекты обществаКокшетау'!#REF!</definedName>
    <definedName name="курс_НБРК" localSheetId="6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8">#REF!</definedName>
    <definedName name="Курс1" localSheetId="7">#REF!</definedName>
    <definedName name="Курс1" localSheetId="5">#REF!</definedName>
    <definedName name="Курс1" localSheetId="6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7">'[14]Финпоки1'!#REF!</definedName>
    <definedName name="Курс10" localSheetId="5">'[14]Финпоки1'!#REF!</definedName>
    <definedName name="Курс10" localSheetId="6">'[14]Финпоки1'!#REF!</definedName>
    <definedName name="Курс10">'[14]Финпоки1'!#REF!</definedName>
    <definedName name="курсСША" localSheetId="2">#REF!</definedName>
    <definedName name="курсСША" localSheetId="8">#REF!</definedName>
    <definedName name="курсСША">#REF!</definedName>
    <definedName name="мес" localSheetId="2">'[54]Осн.показ'!$C$10</definedName>
    <definedName name="мес" localSheetId="8">'[41]Осн.показ'!$C$10</definedName>
    <definedName name="мес">'[24]Осн.показ'!$C$10</definedName>
    <definedName name="мес1" localSheetId="2">'[54]Осн.показ'!$C$11</definedName>
    <definedName name="мес1" localSheetId="8">'[41]Осн.показ'!$C$11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7">#REF!</definedName>
    <definedName name="металлоформы" localSheetId="5">#REF!</definedName>
    <definedName name="металлоформы" localSheetId="6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8">'[42]Параметры'!$C$2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0">'[18]Исх'!$C$9</definedName>
    <definedName name="НДС" localSheetId="8">'[13]Перем. затраты'!$P$47</definedName>
    <definedName name="НДС" localSheetId="6">'ФОТ'!#REF!</definedName>
    <definedName name="ндс">'Исх'!$C$17</definedName>
    <definedName name="НДС_2003" localSheetId="11">'[13]Перем. затраты'!$P$48</definedName>
    <definedName name="НДС_2003" localSheetId="8">'[13]Перем. затраты'!$P$48</definedName>
    <definedName name="НДС_2003">'[4]Перем. затраты'!$P$48</definedName>
    <definedName name="НДС1" localSheetId="2">'[51]Исх'!$C$7</definedName>
    <definedName name="НДС1" localSheetId="10">'[17]Исх'!$C$7</definedName>
    <definedName name="НДС1" localSheetId="8">'[35]Исх'!$C$7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'1-Ф3'!$A$1:$AH$35</definedName>
    <definedName name="_xlnm.Print_Area" localSheetId="1">'2-ф2'!$A$1:$AH$31</definedName>
    <definedName name="_xlnm.Print_Area" localSheetId="2">'3-Баланс'!$A$1:$AH$26</definedName>
    <definedName name="_xlnm.Print_Area" localSheetId="11">'для текста'!$A$1:$B$10</definedName>
    <definedName name="_xlnm.Print_Area" localSheetId="9">'Инв'!$A$1:$Q$43</definedName>
    <definedName name="_xlnm.Print_Area" localSheetId="8">'кр'!$A$1:$CO$13</definedName>
    <definedName name="обм" localSheetId="2">'3-Баланс'!#REF!</definedName>
    <definedName name="обм" localSheetId="10">'[16]ф2'!#REF!</definedName>
    <definedName name="обм" localSheetId="4">'2-ф2'!#REF!</definedName>
    <definedName name="обм" localSheetId="8">'[40]ф2'!#REF!</definedName>
    <definedName name="обм" localSheetId="7">'2-ф2'!#REF!</definedName>
    <definedName name="обм" localSheetId="5">'2-ф2'!#REF!</definedName>
    <definedName name="обм" localSheetId="6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7">#REF!</definedName>
    <definedName name="оборудование_ЖД" localSheetId="5">#REF!</definedName>
    <definedName name="оборудование_ЖД" localSheetId="6">#REF!</definedName>
    <definedName name="оборудование_ЖД">#REF!</definedName>
    <definedName name="общ" localSheetId="2">#REF!</definedName>
    <definedName name="общ" localSheetId="8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8">'[41]ОС'!$D$27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7">#REF!</definedName>
    <definedName name="подстанция" localSheetId="5">#REF!</definedName>
    <definedName name="подстанция" localSheetId="6">#REF!</definedName>
    <definedName name="подстанция">#REF!</definedName>
    <definedName name="Показатели" localSheetId="2">'[46]Главн'!$C$2</definedName>
    <definedName name="Показатели" localSheetId="8">'[32]Главн'!$C$2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8">'[43]Осн. пара'!$C$9</definedName>
    <definedName name="раб">'[30]Осн. пара'!$C$9</definedName>
    <definedName name="рас" localSheetId="2">'[54]Осн.показ'!$C$12</definedName>
    <definedName name="рас" localSheetId="8">'[41]Осн.показ'!$C$12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7">#REF!</definedName>
    <definedName name="рбу" localSheetId="5">#REF!</definedName>
    <definedName name="рбу" localSheetId="6">#REF!</definedName>
    <definedName name="рбу">#REF!</definedName>
    <definedName name="рос" localSheetId="2">'[50]пост. пар.'!$C$8</definedName>
    <definedName name="рос" localSheetId="8">'[37]пост.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7">#REF!</definedName>
    <definedName name="руб" localSheetId="5">#REF!</definedName>
    <definedName name="руб" localSheetId="6">'ФОТ'!#REF!</definedName>
    <definedName name="руб">#REF!</definedName>
    <definedName name="себ" localSheetId="2">'3-Баланс'!#REF!</definedName>
    <definedName name="себ" localSheetId="10">'[16]ф2'!#REF!</definedName>
    <definedName name="себ" localSheetId="4">'2-ф2'!#REF!</definedName>
    <definedName name="себ" localSheetId="8">'[40]ф2'!#REF!</definedName>
    <definedName name="себ" localSheetId="7">'2-ф2'!#REF!</definedName>
    <definedName name="себ" localSheetId="5">'2-ф2'!#REF!</definedName>
    <definedName name="себ" localSheetId="6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7">#REF!</definedName>
    <definedName name="склад_продукции" localSheetId="5">#REF!</definedName>
    <definedName name="склад_продукции" localSheetId="6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7">#REF!</definedName>
    <definedName name="склад_цем" localSheetId="5">#REF!</definedName>
    <definedName name="склад_цем" localSheetId="6">#REF!</definedName>
    <definedName name="склад_цем">#REF!</definedName>
    <definedName name="соц1" localSheetId="2">'[46]Главн'!$D$48</definedName>
    <definedName name="соц1" localSheetId="8">'[32]Главн'!$D$48</definedName>
    <definedName name="соц1">'[21]Главн'!$D$48</definedName>
    <definedName name="соц2" localSheetId="2">'[46]Главн'!$E$48</definedName>
    <definedName name="соц2" localSheetId="8">'[32]Главн'!$E$48</definedName>
    <definedName name="соц2">'[21]Главн'!$E$48</definedName>
    <definedName name="соц3" localSheetId="2">'[46]Главн'!$F$48</definedName>
    <definedName name="соц3" localSheetId="8">'[32]Главн'!$F$48</definedName>
    <definedName name="соц3">'[21]Главн'!$F$48</definedName>
    <definedName name="соц4" localSheetId="2">'[46]Главн'!$G$48</definedName>
    <definedName name="соц4" localSheetId="8">'[32]Главн'!$G$48</definedName>
    <definedName name="соц4">'[21]Главн'!$G$48</definedName>
    <definedName name="соц5" localSheetId="2">'[46]Главн'!$H$48</definedName>
    <definedName name="соц5" localSheetId="8">'[32]Главн'!$H$48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7">#REF!</definedName>
    <definedName name="спецодежда" localSheetId="5">#REF!</definedName>
    <definedName name="спецодежда" localSheetId="6">#REF!</definedName>
    <definedName name="спецодежда">#REF!</definedName>
    <definedName name="Срок_инвестиций1" localSheetId="2">'[46]Invest'!$I$7:$I$240</definedName>
    <definedName name="Срок_инвестиций1" localSheetId="8">'[32]Invest'!$I$7:$I$240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8">'[32]Invest'!$M$7:$M$240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8">'[32]Invest'!$Q$7:$Q$240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8">'[32]Invest'!$U$7:$U$240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8">'[44]Норм'!$F$9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8">'[34]объекты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6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8">'[32]Invest'!$H$7:$H$240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8">'[32]Invest'!$L$7:$L$240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8">'[32]Invest'!$P$7:$P$240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8">'[32]Invest'!$T$7:$T$240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8">'[39]константы'!$F$2:$G$30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7">#REF!</definedName>
    <definedName name="тг" localSheetId="5">#REF!</definedName>
    <definedName name="тг" localSheetId="6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7">#REF!</definedName>
    <definedName name="ТовРеал1" localSheetId="5">#REF!</definedName>
    <definedName name="ТовРеал1" localSheetId="6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8">'[41]Осн.показ'!$C$6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7">'[9]Дох'!#REF!</definedName>
    <definedName name="Цена_бобов" localSheetId="5">'[9]Дох'!#REF!</definedName>
    <definedName name="Цена_бобов" localSheetId="6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7">#REF!</definedName>
    <definedName name="цех_пби" localSheetId="5">#REF!</definedName>
    <definedName name="цех_пби" localSheetId="6">#REF!</definedName>
    <definedName name="цех_пби">#REF!</definedName>
    <definedName name="цр" localSheetId="2">#REF!</definedName>
    <definedName name="цр">#REF!</definedName>
  </definedNames>
  <calcPr fullCalcOnLoad="1"/>
</workbook>
</file>

<file path=xl/sharedStrings.xml><?xml version="1.0" encoding="utf-8"?>
<sst xmlns="http://schemas.openxmlformats.org/spreadsheetml/2006/main" count="442" uniqueCount="339">
  <si>
    <t>Итого</t>
  </si>
  <si>
    <t>ВСЕГО</t>
  </si>
  <si>
    <t>Налог на имущество</t>
  </si>
  <si>
    <t xml:space="preserve">Наименование          </t>
  </si>
  <si>
    <t>Чистый доход</t>
  </si>
  <si>
    <t>Остаток денежных средств на начало отчетного периода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</si>
  <si>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</si>
  <si>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</si>
  <si>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</si>
  <si>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</si>
  <si>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</si>
  <si>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</si>
  <si>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</si>
  <si>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итого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</si>
  <si>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</si>
  <si>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</si>
  <si>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</si>
  <si>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</si>
  <si>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</si>
  <si>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</si>
  <si>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 xml:space="preserve">Подоходный налог 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</si>
  <si>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</si>
  <si>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</si>
  <si>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</si>
  <si>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</si>
  <si>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</si>
  <si>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</si>
  <si>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</si>
  <si>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</si>
  <si>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</si>
  <si>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Корпоративный подоходный налог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</si>
  <si>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</si>
  <si>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</si>
  <si>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</si>
  <si>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</si>
  <si>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</si>
  <si>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</si>
  <si>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Доход облагаемый КПН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</si>
  <si>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</si>
  <si>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</si>
  <si>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</si>
  <si>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</si>
  <si>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</si>
  <si>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</si>
  <si>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</si>
  <si>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</si>
  <si>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</si>
  <si>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</si>
  <si>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</si>
  <si>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</si>
  <si>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Канцтовары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</si>
  <si>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</si>
  <si>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</si>
  <si>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</si>
  <si>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</si>
  <si>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</si>
  <si>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</si>
  <si>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</si>
  <si>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</si>
  <si>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</si>
  <si>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</si>
  <si>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</si>
  <si>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</si>
  <si>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</si>
  <si>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Ставка КПН</t>
  </si>
  <si>
    <t>тыс.тг.</t>
  </si>
  <si>
    <t>Первоначальные инвестиции с НДС, 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</si>
  <si>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</si>
  <si>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</si>
  <si>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</si>
  <si>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</si>
  <si>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</si>
  <si>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</si>
  <si>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</si>
  <si>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</si>
  <si>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</si>
  <si>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</si>
  <si>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</si>
  <si>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</si>
  <si>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</si>
  <si>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</si>
  <si>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</si>
  <si>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</si>
  <si>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</si>
  <si>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</si>
  <si>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</si>
  <si>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Расходы на рекламу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</si>
  <si>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</si>
  <si>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</si>
  <si>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</si>
  <si>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</si>
  <si>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</si>
  <si>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</si>
  <si>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</si>
  <si>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</si>
  <si>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</si>
  <si>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</si>
  <si>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</si>
  <si>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</si>
  <si>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</si>
  <si>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</si>
  <si>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</si>
  <si>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</si>
  <si>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</si>
  <si>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</si>
  <si>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Доходы в месяц, тыс.тг.</t>
  </si>
  <si>
    <t>Статья доходов</t>
  </si>
  <si>
    <t>Переменные расходы в месяц, тыс.тг.</t>
  </si>
  <si>
    <t>$ тыс.</t>
  </si>
  <si>
    <t>Доход от реализации продукции, услуг</t>
  </si>
  <si>
    <t>Себестоимость реализ. товаров, услуг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</si>
  <si>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</si>
  <si>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</si>
  <si>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</si>
  <si>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Обслуживание и ремонт ОС</t>
  </si>
  <si>
    <t>Услуги банка</t>
  </si>
  <si>
    <t>Налог на транспорт</t>
  </si>
  <si>
    <t>Статья расходов</t>
  </si>
  <si>
    <t>Курс доллар/тенге</t>
  </si>
  <si>
    <t>Безубыточность</t>
  </si>
  <si>
    <t>Заемные средства</t>
  </si>
  <si>
    <t>Электроэнергия</t>
  </si>
  <si>
    <t>Оборудование</t>
  </si>
  <si>
    <t>Освоение</t>
  </si>
  <si>
    <t>значение</t>
  </si>
  <si>
    <t>Повар</t>
  </si>
  <si>
    <t>Вспомогательный персонал</t>
  </si>
  <si>
    <t>Прачка</t>
  </si>
  <si>
    <t>Всего по персоналу</t>
  </si>
  <si>
    <t>Услуги связи</t>
  </si>
  <si>
    <t>Здание</t>
  </si>
  <si>
    <t>Отчет о доходах и расходах</t>
  </si>
  <si>
    <t>год</t>
  </si>
  <si>
    <t>Доход от реализации услуг</t>
  </si>
  <si>
    <t>МЗП</t>
  </si>
  <si>
    <t>Директор</t>
  </si>
  <si>
    <t>Гл.бухгалтер</t>
  </si>
  <si>
    <t>Уборщица</t>
  </si>
  <si>
    <t>Охранник</t>
  </si>
  <si>
    <t>Электрик</t>
  </si>
  <si>
    <t>Интернет</t>
  </si>
  <si>
    <t>Полная себестоимость услуг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</si>
  <si>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</si>
  <si>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</si>
  <si>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</si>
  <si>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</si>
  <si>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</si>
  <si>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</si>
  <si>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</si>
  <si>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</si>
  <si>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</si>
  <si>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</si>
  <si>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</si>
  <si>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</si>
  <si>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</si>
  <si>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</si>
  <si>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</si>
  <si>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</si>
  <si>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</si>
  <si>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</si>
  <si>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</si>
  <si>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</si>
  <si>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</si>
  <si>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</si>
  <si>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</si>
  <si>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</si>
  <si>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</si>
  <si>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</si>
  <si>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</si>
  <si>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</si>
  <si>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</si>
  <si>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</si>
  <si>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</si>
  <si>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</si>
  <si>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продукты питания</t>
  </si>
  <si>
    <t>Расходы периода</t>
  </si>
  <si>
    <t>Приобретение продуктов питания</t>
  </si>
  <si>
    <t>Административные расходы</t>
  </si>
  <si>
    <t>ЧДП по Ф3</t>
  </si>
  <si>
    <t>Постоянные расходы в месяц</t>
  </si>
  <si>
    <t>Доходы-расходы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</si>
  <si>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</si>
  <si>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</si>
  <si>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</si>
  <si>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</si>
  <si>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</si>
  <si>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</si>
  <si>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</si>
  <si>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</si>
  <si>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</si>
  <si>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</si>
  <si>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</si>
  <si>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Доля собсвенного участия</t>
  </si>
  <si>
    <t>метод WACC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</si>
  <si>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</si>
  <si>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</si>
  <si>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</si>
  <si>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</si>
  <si>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</si>
  <si>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</si>
  <si>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</si>
  <si>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</si>
  <si>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</si>
  <si>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</si>
  <si>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Собственные средств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</si>
  <si>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</si>
  <si>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</si>
  <si>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</si>
  <si>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</si>
  <si>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</si>
  <si>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</si>
  <si>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Тип погашения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</si>
  <si>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</si>
  <si>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</si>
  <si>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</si>
  <si>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период</t>
  </si>
  <si>
    <t>Рентабельность активов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</si>
  <si>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</si>
  <si>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</si>
  <si>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</si>
  <si>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</si>
  <si>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Продажи, тыс.тг.</t>
  </si>
  <si>
    <t>Планируемая программа производства и продаж по годам проекта</t>
  </si>
  <si>
    <t>Календарный план реализации проекта</t>
  </si>
  <si>
    <t>Мероприятия\Месяц</t>
  </si>
  <si>
    <t>Проведение маркетингового исследования и разработка ТЭО</t>
  </si>
  <si>
    <t>Решение вопроса финансирования</t>
  </si>
  <si>
    <t>Получение кредита</t>
  </si>
  <si>
    <t>Начало работы</t>
  </si>
  <si>
    <t>Поставка оборудования и инвентаря</t>
  </si>
  <si>
    <t>Здания и сооружения</t>
  </si>
  <si>
    <t>на 5 год проекта</t>
  </si>
  <si>
    <t>Коэффициент покрытия обязательств собственным капиталом</t>
  </si>
  <si>
    <t>Наименование</t>
  </si>
  <si>
    <t>Мегалайн</t>
  </si>
  <si>
    <t>Годовая прибыль (5 год), тыс.тг.</t>
  </si>
  <si>
    <t>Налог на прибыль</t>
  </si>
  <si>
    <t>Налоги и обязательные платежи от ФОТ</t>
  </si>
  <si>
    <t>Вид налога</t>
  </si>
  <si>
    <t>Сумма, тыс.тг.</t>
  </si>
  <si>
    <t>Помещение</t>
  </si>
  <si>
    <t>Ремонт</t>
  </si>
  <si>
    <t>Печь</t>
  </si>
  <si>
    <t>Жарочно-пекарный шкаф</t>
  </si>
  <si>
    <t>Холодильники</t>
  </si>
  <si>
    <t>Столы</t>
  </si>
  <si>
    <t>Стулья</t>
  </si>
  <si>
    <t>Кондиционеры</t>
  </si>
  <si>
    <t>Барная стойка</t>
  </si>
  <si>
    <t>Тех.инвентарь, посуда</t>
  </si>
  <si>
    <t>Для кафе</t>
  </si>
  <si>
    <t>Кровать</t>
  </si>
  <si>
    <t>Тумбочки</t>
  </si>
  <si>
    <t>Мягкий уголок (для люкс)</t>
  </si>
  <si>
    <t>Диван</t>
  </si>
  <si>
    <t>Кресло</t>
  </si>
  <si>
    <t>Жупнальный столик</t>
  </si>
  <si>
    <t>Холодильник</t>
  </si>
  <si>
    <t>Светильники, бра</t>
  </si>
  <si>
    <t>Прихожая</t>
  </si>
  <si>
    <t>Стиральная машина</t>
  </si>
  <si>
    <t>Прочие</t>
  </si>
  <si>
    <t>Гостиница</t>
  </si>
  <si>
    <t>Стандартный номер</t>
  </si>
  <si>
    <t>Кол-во номеров</t>
  </si>
  <si>
    <t>Кол-во заполненных дней в мес.</t>
  </si>
  <si>
    <t>Стоимость 1 номера, тг.</t>
  </si>
  <si>
    <t>Люкс</t>
  </si>
  <si>
    <t>Кафе</t>
  </si>
  <si>
    <t>Кол-во дней</t>
  </si>
  <si>
    <t>Кол-во посетителей в день</t>
  </si>
  <si>
    <t>Средний чек, тенге</t>
  </si>
  <si>
    <t>исходя из расчета 16 чел. с гостиницы + 50 внешние</t>
  </si>
  <si>
    <t>Земля</t>
  </si>
  <si>
    <t>Расходы по оказанию услуг кафе</t>
  </si>
  <si>
    <t>Продукты питания</t>
  </si>
  <si>
    <t>% доли расходов на приобретение продуктов питания в выручке</t>
  </si>
  <si>
    <t>Управляющий</t>
  </si>
  <si>
    <t>Горничная</t>
  </si>
  <si>
    <t>Бармен</t>
  </si>
  <si>
    <t>Официант</t>
  </si>
  <si>
    <t>Водитель</t>
  </si>
  <si>
    <t>Дворник - садовник</t>
  </si>
  <si>
    <t>Администратор</t>
  </si>
  <si>
    <t>Коммунальные услуги</t>
  </si>
  <si>
    <t>Чистящие средства + материалы для гостиницы + хоз.товары</t>
  </si>
  <si>
    <t>Белье для гостиницы</t>
  </si>
  <si>
    <t>Транспортные расходы</t>
  </si>
  <si>
    <t>Утварь, посуда</t>
  </si>
  <si>
    <t>Кол-во номеров стандартных</t>
  </si>
  <si>
    <t>Кол-во номеров люкс</t>
  </si>
  <si>
    <t>Заполняемость</t>
  </si>
  <si>
    <t>дн/мес.</t>
  </si>
  <si>
    <t>Стоимость 1 номера</t>
  </si>
  <si>
    <t>тг./сутки с НДС</t>
  </si>
  <si>
    <t>Посетители кафе</t>
  </si>
  <si>
    <t>чел/день</t>
  </si>
  <si>
    <t>Средний чек</t>
  </si>
  <si>
    <t>тг.с НДС</t>
  </si>
  <si>
    <t>Доля расходов на питание в выручке кафе</t>
  </si>
  <si>
    <t>услуги гостиницы</t>
  </si>
  <si>
    <t>услуги кафе</t>
  </si>
  <si>
    <t>Строит-во</t>
  </si>
  <si>
    <t>от реализации услуг гостиницы</t>
  </si>
  <si>
    <t>от реализации услуг кафе</t>
  </si>
  <si>
    <t>Величина налоговых поступлений за 6 лет, тыс.тг.</t>
  </si>
  <si>
    <t>Количество номеров стандарт</t>
  </si>
  <si>
    <t>Количество номеров люкс</t>
  </si>
  <si>
    <t>Число посетителей кафе</t>
  </si>
  <si>
    <t>Налог на транспорт и имущество</t>
  </si>
  <si>
    <t>Оформление земельного участка</t>
  </si>
  <si>
    <t>Строительство</t>
  </si>
  <si>
    <t>Отделка помещения</t>
  </si>
  <si>
    <t>Монтаж оборудования и инвентаря</t>
  </si>
  <si>
    <t>Аренда земельного участка</t>
  </si>
  <si>
    <t>Фактор сезонности (% от средней выручки)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</si>
  <si>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</si>
  <si>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</si>
  <si>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</si>
  <si>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</si>
  <si>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</si>
  <si>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</si>
  <si>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</si>
  <si>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</si>
  <si>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</si>
  <si>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</si>
  <si>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</si>
  <si>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</si>
  <si>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среднем</t>
  </si>
  <si>
    <t>Месяц</t>
  </si>
  <si>
    <t>исходя из тарифов</t>
  </si>
  <si>
    <t>Для гост.номеров, холла</t>
  </si>
  <si>
    <t>шт.</t>
  </si>
  <si>
    <t>05-12.2012</t>
  </si>
  <si>
    <t>05.2012-01.2013</t>
  </si>
  <si>
    <t>Расходы, тыс.тг.</t>
  </si>
  <si>
    <t>Источник финансирования, тыс.тг.</t>
  </si>
  <si>
    <t>Доля основных средств в стоимости активов</t>
  </si>
  <si>
    <t>10 год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</si>
</sst>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%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0.0"/>
    <numFmt numFmtId="169" formatCode="#,##0.0"/>
    <numFmt numFmtId="170" formatCode="#,##0.0_ ;[Red]\-#,##0.0\ "/>
    <numFmt numFmtId="171" formatCode="&quot;\&quot;#,##0;[Red]&quot;\&quot;\-#,##0"/>
    <numFmt numFmtId="172" formatCode="&quot;\&quot;#,##0.00;[Red]&quot;\&quot;\-#,##0.00"/>
    <numFmt numFmtId="173" formatCode="&quot;See Note &quot;\ #"/>
    <numFmt numFmtId="174" formatCode="\$\ #,##0"/>
    <numFmt numFmtId="175" formatCode="_-* #,##0.00[$€]_-;\-* #,##0.00[$€]_-;_-* &quot;-&quot;??[$€]_-;_-@_-"/>
    <numFmt numFmtId="176" formatCode="#,##0.000_ ;[Red]\-#,##0.000\ "/>
    <numFmt numFmtId="177" formatCode="#,##0.000"/>
    <numFmt numFmtId="178" formatCode="0.0000"/>
    <numFmt numFmtId="179" formatCode="0.000"/>
    <numFmt numFmtId="180" formatCode="0.000%"/>
    <numFmt numFmtId="181" formatCode="0.0000%"/>
    <numFmt numFmtId="182" formatCode="0.00000"/>
    <numFmt numFmtId="183" formatCode="0.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[$-FC19]d\ mmmm\ yyyy\ &quot;г.&quot;"/>
    <numFmt numFmtId="188" formatCode="[$-419]mmmm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"/>
    <numFmt numFmtId="194" formatCode="0.00000000"/>
    <numFmt numFmtId="195" formatCode="_-* #,##0.0000_р_._-;\-* #,##0.0000_р_._-;_-* &quot;-&quot;??_р_._-;_-@_-"/>
    <numFmt numFmtId="196" formatCode="_-* #,##0\ _€_-;\-* #,##0\ _€_-;_-* &quot;-&quot;??\ _€_-;_-@_-"/>
    <numFmt numFmtId="197" formatCode="_-* #,##0.00\ _€_-;\-* #,##0.00\ _€_-;_-* &quot;-&quot;??\ _€_-;_-@_-"/>
    <numFmt numFmtId="198" formatCode="[$-419]mmmm\ yyyy;@"/>
    <numFmt numFmtId="199" formatCode="0.0000000000"/>
    <numFmt numFmtId="200" formatCode="0.000000000"/>
    <numFmt numFmtId="201" formatCode="#,##0_ ;\-#,##0\ "/>
    <numFmt numFmtId="202" formatCode="#,##0.0_ ;\-#,##0.0\ "/>
    <numFmt numFmtId="203" formatCode="#,##0.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i/>
      <sz val="10"/>
      <color theme="0" tint="-0.4999699890613556"/>
      <name val="Arial"/>
      <family val="2"/>
    </font>
    <font>
      <sz val="10"/>
      <color theme="3" tint="0.399980008602142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5" fontId="0" fillId="0" borderId="0" applyFont="0" applyFill="0" applyBorder="0" applyAlignment="0" applyProtection="0"/>
    <xf numFmtId="0" fontId="7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8" fillId="0" borderId="0">
      <alignment/>
      <protection/>
    </xf>
    <xf numFmtId="173" fontId="9" fillId="0" borderId="0">
      <alignment horizontal="left"/>
      <protection/>
    </xf>
    <xf numFmtId="174" fontId="10" fillId="0" borderId="0">
      <alignment/>
      <protection/>
    </xf>
    <xf numFmtId="173" fontId="9" fillId="0" borderId="0">
      <alignment horizontal="left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6" fillId="0" borderId="0">
      <alignment/>
      <protection/>
    </xf>
    <xf numFmtId="0" fontId="59" fillId="0" borderId="0" applyNumberFormat="0" applyFill="0" applyBorder="0" applyAlignment="0" applyProtection="0"/>
    <xf numFmtId="0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9" fontId="16" fillId="0" borderId="10" xfId="70" applyNumberFormat="1" applyFont="1" applyFill="1" applyBorder="1" applyAlignment="1">
      <alignment horizontal="right" wrapText="1"/>
      <protection/>
    </xf>
    <xf numFmtId="3" fontId="5" fillId="35" borderId="10" xfId="70" applyNumberFormat="1" applyFont="1" applyFill="1" applyBorder="1" applyAlignment="1">
      <alignment horizontal="right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64" fontId="5" fillId="0" borderId="11" xfId="64" applyNumberFormat="1" applyFont="1" applyFill="1" applyBorder="1" applyAlignment="1">
      <alignment vertical="center" wrapText="1"/>
      <protection/>
    </xf>
    <xf numFmtId="164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64" fontId="16" fillId="0" borderId="10" xfId="70" applyNumberFormat="1" applyFont="1" applyFill="1" applyBorder="1" applyAlignment="1">
      <alignment horizontal="right" vertical="center"/>
      <protection/>
    </xf>
    <xf numFmtId="164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66" applyFont="1" applyAlignment="1">
      <alignment vertical="center"/>
      <protection/>
    </xf>
    <xf numFmtId="0" fontId="5" fillId="0" borderId="0" xfId="66" applyFont="1" applyAlignment="1">
      <alignment horizontal="right" vertical="center"/>
      <protection/>
    </xf>
    <xf numFmtId="0" fontId="5" fillId="0" borderId="0" xfId="66" applyFont="1" applyBorder="1" applyAlignment="1">
      <alignment vertical="center"/>
      <protection/>
    </xf>
    <xf numFmtId="3" fontId="5" fillId="0" borderId="0" xfId="66" applyNumberFormat="1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69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62" fillId="0" borderId="0" xfId="70" applyNumberFormat="1" applyFont="1" applyFill="1" applyBorder="1" applyAlignment="1">
      <alignment horizontal="left"/>
      <protection/>
    </xf>
    <xf numFmtId="9" fontId="62" fillId="0" borderId="0" xfId="70" applyNumberFormat="1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64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164" fontId="16" fillId="0" borderId="0" xfId="70" applyNumberFormat="1" applyFont="1" applyFill="1" applyBorder="1" applyAlignment="1" applyProtection="1">
      <alignment wrapText="1" shrinkToFit="1"/>
      <protection locked="0"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64" fontId="16" fillId="0" borderId="10" xfId="70" applyNumberFormat="1" applyFont="1" applyFill="1" applyBorder="1" applyAlignment="1">
      <alignment horizontal="center" vertical="top"/>
      <protection/>
    </xf>
    <xf numFmtId="164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64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64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64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64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3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165" fontId="5" fillId="33" borderId="10" xfId="76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201" fontId="5" fillId="0" borderId="0" xfId="0" applyNumberFormat="1" applyFont="1" applyAlignment="1">
      <alignment/>
    </xf>
    <xf numFmtId="165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86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11" xfId="0" applyFont="1" applyBorder="1" applyAlignment="1">
      <alignment/>
    </xf>
    <xf numFmtId="0" fontId="16" fillId="34" borderId="14" xfId="0" applyFont="1" applyFill="1" applyBorder="1" applyAlignment="1">
      <alignment horizontal="center"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64" fontId="5" fillId="0" borderId="0" xfId="65" applyNumberFormat="1" applyFont="1" applyFill="1" applyProtection="1">
      <alignment/>
      <protection locked="0"/>
    </xf>
    <xf numFmtId="164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16" fillId="0" borderId="10" xfId="65" applyFont="1" applyFill="1" applyBorder="1" applyProtection="1">
      <alignment/>
      <protection locked="0"/>
    </xf>
    <xf numFmtId="3" fontId="5" fillId="0" borderId="10" xfId="65" applyNumberFormat="1" applyFont="1" applyFill="1" applyBorder="1" applyAlignment="1" applyProtection="1">
      <alignment horizontal="center"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165" fontId="17" fillId="0" borderId="0" xfId="65" applyNumberFormat="1" applyFont="1" applyFill="1" applyProtection="1">
      <alignment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64" fontId="5" fillId="0" borderId="10" xfId="69" applyNumberFormat="1" applyFont="1" applyFill="1" applyBorder="1" applyAlignment="1">
      <alignment horizontal="right" vertical="center"/>
      <protection/>
    </xf>
    <xf numFmtId="164" fontId="5" fillId="0" borderId="10" xfId="65" applyNumberFormat="1" applyFont="1" applyFill="1" applyBorder="1" applyAlignment="1" applyProtection="1">
      <alignment/>
      <protection locked="0"/>
    </xf>
    <xf numFmtId="164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64" fontId="5" fillId="39" borderId="10" xfId="65" applyNumberFormat="1" applyFont="1" applyFill="1" applyBorder="1" applyAlignment="1" applyProtection="1">
      <alignment/>
      <protection locked="0"/>
    </xf>
    <xf numFmtId="164" fontId="5" fillId="0" borderId="0" xfId="65" applyNumberFormat="1" applyFont="1" applyFill="1" applyAlignment="1" applyProtection="1">
      <alignment/>
      <protection locked="0"/>
    </xf>
    <xf numFmtId="164" fontId="63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02" fontId="5" fillId="0" borderId="0" xfId="0" applyNumberFormat="1" applyFont="1" applyAlignment="1">
      <alignment/>
    </xf>
    <xf numFmtId="0" fontId="16" fillId="34" borderId="10" xfId="0" applyFont="1" applyFill="1" applyBorder="1" applyAlignment="1">
      <alignment horizontal="center" vertical="center" wrapText="1" shrinkToFit="1"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79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right"/>
    </xf>
    <xf numFmtId="0" fontId="5" fillId="0" borderId="10" xfId="66" applyFont="1" applyBorder="1" applyAlignment="1">
      <alignment vertical="center"/>
      <protection/>
    </xf>
    <xf numFmtId="3" fontId="5" fillId="0" borderId="10" xfId="66" applyNumberFormat="1" applyFont="1" applyFill="1" applyBorder="1" applyAlignment="1">
      <alignment horizontal="right" vertical="center"/>
      <protection/>
    </xf>
    <xf numFmtId="0" fontId="16" fillId="0" borderId="10" xfId="66" applyFont="1" applyBorder="1" applyAlignment="1">
      <alignment vertical="center"/>
      <protection/>
    </xf>
    <xf numFmtId="3" fontId="16" fillId="0" borderId="10" xfId="66" applyNumberFormat="1" applyFont="1" applyFill="1" applyBorder="1" applyAlignment="1">
      <alignment horizontal="right" vertical="center"/>
      <protection/>
    </xf>
    <xf numFmtId="0" fontId="16" fillId="2" borderId="11" xfId="67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9" fontId="5" fillId="0" borderId="10" xfId="66" applyNumberFormat="1" applyFont="1" applyFill="1" applyBorder="1" applyAlignment="1">
      <alignment horizontal="right" vertical="center"/>
      <protection/>
    </xf>
    <xf numFmtId="9" fontId="16" fillId="0" borderId="10" xfId="66" applyNumberFormat="1" applyFont="1" applyFill="1" applyBorder="1" applyAlignment="1">
      <alignment horizontal="right" vertical="center"/>
      <protection/>
    </xf>
    <xf numFmtId="49" fontId="5" fillId="0" borderId="10" xfId="66" applyNumberFormat="1" applyFont="1" applyFill="1" applyBorder="1" applyAlignment="1">
      <alignment horizontal="right" vertical="center"/>
      <protection/>
    </xf>
    <xf numFmtId="0" fontId="5" fillId="35" borderId="0" xfId="66" applyFont="1" applyFill="1">
      <alignment/>
      <protection/>
    </xf>
    <xf numFmtId="169" fontId="5" fillId="0" borderId="10" xfId="66" applyNumberFormat="1" applyFont="1" applyFill="1" applyBorder="1" applyAlignment="1">
      <alignment horizontal="right" vertical="center"/>
      <protection/>
    </xf>
    <xf numFmtId="0" fontId="16" fillId="0" borderId="0" xfId="66" applyFont="1" applyAlignment="1">
      <alignment vertical="center"/>
      <protection/>
    </xf>
    <xf numFmtId="0" fontId="5" fillId="0" borderId="10" xfId="66" applyFont="1" applyBorder="1" applyAlignment="1">
      <alignment vertical="center" wrapText="1"/>
      <protection/>
    </xf>
    <xf numFmtId="9" fontId="5" fillId="2" borderId="10" xfId="66" applyNumberFormat="1" applyFont="1" applyFill="1" applyBorder="1" applyAlignment="1">
      <alignment horizontal="right" vertical="center"/>
      <protection/>
    </xf>
    <xf numFmtId="3" fontId="5" fillId="2" borderId="10" xfId="66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Fill="1" applyBorder="1" applyAlignment="1">
      <alignment horizontal="center"/>
    </xf>
    <xf numFmtId="168" fontId="5" fillId="0" borderId="10" xfId="66" applyNumberFormat="1" applyFont="1" applyFill="1" applyBorder="1" applyAlignment="1">
      <alignment horizontal="right" vertical="center"/>
      <protection/>
    </xf>
    <xf numFmtId="0" fontId="16" fillId="34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/>
    </xf>
    <xf numFmtId="0" fontId="5" fillId="2" borderId="10" xfId="66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165" fontId="5" fillId="33" borderId="10" xfId="0" applyNumberFormat="1" applyFont="1" applyFill="1" applyBorder="1" applyAlignment="1">
      <alignment/>
    </xf>
    <xf numFmtId="49" fontId="17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/>
    </xf>
    <xf numFmtId="169" fontId="5" fillId="35" borderId="10" xfId="0" applyNumberFormat="1" applyFont="1" applyFill="1" applyBorder="1" applyAlignment="1">
      <alignment/>
    </xf>
    <xf numFmtId="164" fontId="63" fillId="0" borderId="0" xfId="70" applyNumberFormat="1" applyFont="1" applyFill="1" applyBorder="1" applyAlignment="1">
      <alignment horizontal="center" wrapText="1" shrinkToFit="1"/>
      <protection/>
    </xf>
    <xf numFmtId="9" fontId="5" fillId="0" borderId="10" xfId="0" applyNumberFormat="1" applyFont="1" applyBorder="1" applyAlignment="1">
      <alignment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64" fontId="16" fillId="34" borderId="16" xfId="70" applyNumberFormat="1" applyFont="1" applyFill="1" applyBorder="1" applyAlignment="1">
      <alignment horizontal="center" vertical="center"/>
      <protection/>
    </xf>
    <xf numFmtId="0" fontId="16" fillId="34" borderId="16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64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7" xfId="70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7" xfId="7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64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64" fontId="16" fillId="34" borderId="11" xfId="70" applyNumberFormat="1" applyFont="1" applyFill="1" applyBorder="1" applyAlignment="1">
      <alignment horizontal="center" vertical="center" wrapText="1" shrinkToFit="1"/>
      <protection/>
    </xf>
    <xf numFmtId="164" fontId="16" fillId="34" borderId="16" xfId="70" applyNumberFormat="1" applyFont="1" applyFill="1" applyBorder="1" applyAlignment="1">
      <alignment horizontal="center" vertical="center" wrapText="1" shrinkToFit="1"/>
      <protection/>
    </xf>
    <xf numFmtId="164" fontId="16" fillId="34" borderId="12" xfId="70" applyNumberFormat="1" applyFont="1" applyFill="1" applyBorder="1" applyAlignment="1">
      <alignment horizontal="center" vertical="center" wrapText="1" shrinkToFit="1"/>
      <protection/>
    </xf>
    <xf numFmtId="3" fontId="5" fillId="0" borderId="11" xfId="66" applyNumberFormat="1" applyFont="1" applyFill="1" applyBorder="1" applyAlignment="1">
      <alignment horizontal="center" vertical="center"/>
      <protection/>
    </xf>
    <xf numFmtId="3" fontId="5" fillId="0" borderId="16" xfId="66" applyNumberFormat="1" applyFont="1" applyFill="1" applyBorder="1" applyAlignment="1">
      <alignment horizontal="center" vertical="center"/>
      <protection/>
    </xf>
    <xf numFmtId="3" fontId="5" fillId="0" borderId="12" xfId="66" applyNumberFormat="1" applyFont="1" applyFill="1" applyBorder="1" applyAlignment="1">
      <alignment horizontal="center" vertical="center"/>
      <protection/>
    </xf>
    <xf numFmtId="9" fontId="5" fillId="0" borderId="11" xfId="66" applyNumberFormat="1" applyFont="1" applyFill="1" applyBorder="1" applyAlignment="1">
      <alignment horizontal="center" vertical="center"/>
      <protection/>
    </xf>
    <xf numFmtId="9" fontId="5" fillId="0" borderId="16" xfId="66" applyNumberFormat="1" applyFont="1" applyFill="1" applyBorder="1" applyAlignment="1">
      <alignment horizontal="center" vertical="center"/>
      <protection/>
    </xf>
    <xf numFmtId="9" fontId="5" fillId="0" borderId="12" xfId="66" applyNumberFormat="1" applyFont="1" applyFill="1" applyBorder="1" applyAlignment="1">
      <alignment horizontal="center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16" fillId="2" borderId="13" xfId="67" applyFont="1" applyFill="1" applyBorder="1" applyAlignment="1">
      <alignment horizontal="left" vertical="center"/>
      <protection/>
    </xf>
    <xf numFmtId="0" fontId="16" fillId="2" borderId="14" xfId="67" applyFont="1" applyFill="1" applyBorder="1" applyAlignment="1">
      <alignment horizontal="left" vertical="center"/>
      <protection/>
    </xf>
    <xf numFmtId="0" fontId="5" fillId="0" borderId="0" xfId="0" applyFont="1" applyAlignment="1">
      <alignment wrapText="1"/>
    </xf>
  </cellXfs>
  <cellStyles count="76">
    <cellStyle name="Normal" xfId="0"/>
    <cellStyle name="_Бюджет_2007_3_22,12,06 вар.после набл.совет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externalLink" Target="externalLinks/externalLink24.xml" /><Relationship Id="rId39" Type="http://schemas.openxmlformats.org/officeDocument/2006/relationships/externalLink" Target="externalLinks/externalLink25.xml" /><Relationship Id="rId40" Type="http://schemas.openxmlformats.org/officeDocument/2006/relationships/externalLink" Target="externalLinks/externalLink26.xml" /><Relationship Id="rId41" Type="http://schemas.openxmlformats.org/officeDocument/2006/relationships/externalLink" Target="externalLinks/externalLink27.xml" /><Relationship Id="rId42" Type="http://schemas.openxmlformats.org/officeDocument/2006/relationships/externalLink" Target="externalLinks/externalLink28.xml" /><Relationship Id="rId43" Type="http://schemas.openxmlformats.org/officeDocument/2006/relationships/externalLink" Target="externalLinks/externalLink29.xml" /><Relationship Id="rId44" Type="http://schemas.openxmlformats.org/officeDocument/2006/relationships/externalLink" Target="externalLinks/externalLink30.xml" /><Relationship Id="rId45" Type="http://schemas.openxmlformats.org/officeDocument/2006/relationships/externalLink" Target="externalLinks/externalLink31.xml" /><Relationship Id="rId46" Type="http://schemas.openxmlformats.org/officeDocument/2006/relationships/externalLink" Target="externalLinks/externalLink32.xml" /><Relationship Id="rId47" Type="http://schemas.openxmlformats.org/officeDocument/2006/relationships/externalLink" Target="externalLinks/externalLink33.xml" /><Relationship Id="rId48" Type="http://schemas.openxmlformats.org/officeDocument/2006/relationships/externalLink" Target="externalLinks/externalLink34.xml" /><Relationship Id="rId49" Type="http://schemas.openxmlformats.org/officeDocument/2006/relationships/externalLink" Target="externalLinks/externalLink35.xml" /><Relationship Id="rId50" Type="http://schemas.openxmlformats.org/officeDocument/2006/relationships/externalLink" Target="externalLinks/externalLink36.xml" /><Relationship Id="rId51" Type="http://schemas.openxmlformats.org/officeDocument/2006/relationships/externalLink" Target="externalLinks/externalLink37.xml" /><Relationship Id="rId52" Type="http://schemas.openxmlformats.org/officeDocument/2006/relationships/externalLink" Target="externalLinks/externalLink38.xml" /><Relationship Id="rId53" Type="http://schemas.openxmlformats.org/officeDocument/2006/relationships/externalLink" Target="externalLinks/externalLink39.xml" /><Relationship Id="rId54" Type="http://schemas.openxmlformats.org/officeDocument/2006/relationships/externalLink" Target="externalLinks/externalLink40.xml" /><Relationship Id="rId55" Type="http://schemas.openxmlformats.org/officeDocument/2006/relationships/externalLink" Target="externalLinks/externalLink41.xml" /><Relationship Id="rId56" Type="http://schemas.openxmlformats.org/officeDocument/2006/relationships/externalLink" Target="externalLinks/externalLink42.xml" /><Relationship Id="rId57" Type="http://schemas.openxmlformats.org/officeDocument/2006/relationships/externalLink" Target="externalLinks/externalLink43.xml" /><Relationship Id="rId58" Type="http://schemas.openxmlformats.org/officeDocument/2006/relationships/externalLink" Target="externalLinks/externalLink44.xml" /><Relationship Id="rId59" Type="http://schemas.openxmlformats.org/officeDocument/2006/relationships/externalLink" Target="externalLinks/externalLink45.xml" /><Relationship Id="rId60" Type="http://schemas.openxmlformats.org/officeDocument/2006/relationships/externalLink" Target="externalLinks/externalLink46.xml" /><Relationship Id="rId61" Type="http://schemas.openxmlformats.org/officeDocument/2006/relationships/externalLink" Target="externalLinks/externalLink47.xml" /><Relationship Id="rId62" Type="http://schemas.openxmlformats.org/officeDocument/2006/relationships/externalLink" Target="externalLinks/externalLink48.xml" /><Relationship Id="rId63" Type="http://schemas.openxmlformats.org/officeDocument/2006/relationships/externalLink" Target="externalLinks/externalLink49.xml" /><Relationship Id="rId64" Type="http://schemas.openxmlformats.org/officeDocument/2006/relationships/externalLink" Target="externalLinks/externalLink50.xml" /><Relationship Id="rId65" Type="http://schemas.openxmlformats.org/officeDocument/2006/relationships/externalLink" Target="externalLinks/externalLink51.xml" /><Relationship Id="rId66" Type="http://schemas.openxmlformats.org/officeDocument/2006/relationships/externalLink" Target="externalLinks/externalLink52.xml" /><Relationship Id="rId67" Type="http://schemas.openxmlformats.org/officeDocument/2006/relationships/externalLink" Target="externalLinks/externalLink53.xml" /><Relationship Id="rId68" Type="http://schemas.openxmlformats.org/officeDocument/2006/relationships/externalLink" Target="externalLinks/externalLink54.xml" /><Relationship Id="rId69" Type="http://schemas.openxmlformats.org/officeDocument/2006/relationships/externalLink" Target="externalLinks/externalLink55.xml" /><Relationship Id="rId70" Type="http://schemas.openxmlformats.org/officeDocument/2006/relationships/externalLink" Target="externalLinks/externalLink56.xml" /><Relationship Id="rId71" Type="http://schemas.openxmlformats.org/officeDocument/2006/relationships/externalLink" Target="externalLinks/externalLink57.xml" /><Relationship Id="rId7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T142"/>
  <sheetViews>
    <sheetView showGridLines="0" showZeros="0" zoomScalePageLayoutView="0" workbookViewId="0" topLeftCell="A1">
      <pane xSplit="3" ySplit="6" topLeftCell="AF28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K55" sqref="AK55"/>
    </sheetView>
  </sheetViews>
  <sheetFormatPr defaultColWidth="8.625" defaultRowHeight="12.75" outlineLevelRow="1" outlineLevelCol="1"/>
  <cols>
    <col min="1" max="1" width="37.25390625" style="60" customWidth="1"/>
    <col min="2" max="2" width="10.125" style="61" customWidth="1"/>
    <col min="3" max="3" width="1.875" style="61" customWidth="1"/>
    <col min="4" max="6" width="7.75390625" style="6" hidden="1" customWidth="1" outlineLevel="1"/>
    <col min="7" max="7" width="7.75390625" style="57" hidden="1" customWidth="1" outlineLevel="1"/>
    <col min="8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8" width="7.625" style="6" hidden="1" customWidth="1" outlineLevel="1"/>
    <col min="29" max="29" width="8.75390625" style="7" customWidth="1" collapsed="1"/>
    <col min="30" max="30" width="8.625" style="7" customWidth="1"/>
    <col min="31" max="31" width="8.75390625" style="7" customWidth="1"/>
    <col min="32" max="32" width="8.625" style="7" customWidth="1"/>
    <col min="33" max="34" width="7.875" style="8" bestFit="1" customWidth="1"/>
    <col min="35" max="41" width="8.75390625" style="8" bestFit="1" customWidth="1"/>
    <col min="42" max="16384" width="8.625" style="8" customWidth="1"/>
  </cols>
  <sheetData>
    <row r="1" spans="1:27" ht="12.75">
      <c r="A1" s="62" t="s">
        <v>196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MAX(K35:AF35)</f>
        <v>26641.222574909312</v>
      </c>
      <c r="B2" s="10">
        <f>MIN(D35:AH35)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Исх!$C$9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4" ht="15.75" customHeight="1">
      <c r="A5" s="266" t="s">
        <v>3</v>
      </c>
      <c r="B5" s="268" t="s">
        <v>1</v>
      </c>
      <c r="C5" s="15"/>
      <c r="D5" s="268">
        <v>2012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>
        <v>2013</v>
      </c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15">
        <v>2014</v>
      </c>
      <c r="AE5" s="15">
        <f>AD5+1</f>
        <v>2015</v>
      </c>
      <c r="AF5" s="15">
        <f>AE5+1</f>
        <v>2016</v>
      </c>
      <c r="AG5" s="15">
        <f>AF5+1</f>
        <v>2017</v>
      </c>
      <c r="AH5" s="15">
        <f>AG5+1</f>
        <v>2018</v>
      </c>
    </row>
    <row r="6" spans="1:34" ht="12.75">
      <c r="A6" s="267"/>
      <c r="B6" s="268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1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1</v>
      </c>
      <c r="AD6" s="15" t="s">
        <v>132</v>
      </c>
      <c r="AE6" s="15" t="s">
        <v>132</v>
      </c>
      <c r="AF6" s="15" t="s">
        <v>132</v>
      </c>
      <c r="AG6" s="15" t="s">
        <v>132</v>
      </c>
      <c r="AH6" s="15" t="s">
        <v>132</v>
      </c>
    </row>
    <row r="7" spans="1:34" s="21" customFormat="1" ht="25.5">
      <c r="A7" s="17" t="s">
        <v>5</v>
      </c>
      <c r="B7" s="18">
        <f>P7</f>
        <v>0</v>
      </c>
      <c r="C7" s="19"/>
      <c r="D7" s="20">
        <f>C35</f>
        <v>0</v>
      </c>
      <c r="E7" s="20">
        <f aca="true" t="shared" si="2" ref="E7:K7">D35</f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>K35</f>
        <v>0</v>
      </c>
      <c r="M7" s="20">
        <f>L35</f>
        <v>0</v>
      </c>
      <c r="N7" s="20">
        <f>M35</f>
        <v>0</v>
      </c>
      <c r="O7" s="20">
        <f>N35</f>
        <v>0</v>
      </c>
      <c r="P7" s="20">
        <f>D7</f>
        <v>0</v>
      </c>
      <c r="Q7" s="20">
        <f>P35</f>
        <v>8166.666666666666</v>
      </c>
      <c r="R7" s="20">
        <f aca="true" t="shared" si="3" ref="R7:AA7">Q35</f>
        <v>13069.164368809525</v>
      </c>
      <c r="S7" s="20">
        <f t="shared" si="3"/>
        <v>8695.468320382333</v>
      </c>
      <c r="T7" s="20">
        <f t="shared" si="3"/>
        <v>5229.891169887508</v>
      </c>
      <c r="U7" s="20">
        <f t="shared" si="3"/>
        <v>1795.73291732505</v>
      </c>
      <c r="V7" s="20">
        <f t="shared" si="3"/>
        <v>146.39356269496147</v>
      </c>
      <c r="W7" s="20">
        <f t="shared" si="3"/>
        <v>2911.9731059972382</v>
      </c>
      <c r="X7" s="20">
        <f t="shared" si="3"/>
        <v>8339.071547231884</v>
      </c>
      <c r="Y7" s="20">
        <f t="shared" si="3"/>
        <v>13560.127507159148</v>
      </c>
      <c r="Z7" s="20">
        <f t="shared" si="3"/>
        <v>16383.925633429404</v>
      </c>
      <c r="AA7" s="20">
        <f t="shared" si="3"/>
        <v>17792.566020902694</v>
      </c>
      <c r="AB7" s="20">
        <f>AA35</f>
        <v>16345.755812436168</v>
      </c>
      <c r="AC7" s="20">
        <f>Q7</f>
        <v>8166.666666666666</v>
      </c>
      <c r="AD7" s="20">
        <f>AC35</f>
        <v>15644.227150886963</v>
      </c>
      <c r="AE7" s="20">
        <f>AD35</f>
        <v>17676.03732899049</v>
      </c>
      <c r="AF7" s="20">
        <f>AE35</f>
        <v>23793.61175604556</v>
      </c>
      <c r="AG7" s="20">
        <f>AF35</f>
        <v>26641.222574909312</v>
      </c>
      <c r="AH7" s="20">
        <f>AG35</f>
        <v>31376.609419510343</v>
      </c>
    </row>
    <row r="8" spans="1:34" s="21" customFormat="1" ht="12.75">
      <c r="A8" s="22" t="s">
        <v>11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s="21" customFormat="1" ht="12.75">
      <c r="A9" s="26" t="s">
        <v>19</v>
      </c>
      <c r="B9" s="27">
        <f>P9+AC9+AD9+AE9+AF9+AG9+AH9</f>
        <v>639341.849025</v>
      </c>
      <c r="C9" s="27"/>
      <c r="D9" s="27">
        <f aca="true" t="shared" si="4" ref="D9:AH9">SUM(D10:D11)</f>
        <v>0</v>
      </c>
      <c r="E9" s="27">
        <f t="shared" si="4"/>
        <v>0</v>
      </c>
      <c r="F9" s="27">
        <f t="shared" si="4"/>
        <v>0</v>
      </c>
      <c r="G9" s="27">
        <f t="shared" si="4"/>
        <v>0</v>
      </c>
      <c r="H9" s="27">
        <f t="shared" si="4"/>
        <v>0</v>
      </c>
      <c r="I9" s="27">
        <f t="shared" si="4"/>
        <v>0</v>
      </c>
      <c r="J9" s="27">
        <f t="shared" si="4"/>
        <v>0</v>
      </c>
      <c r="K9" s="27">
        <f t="shared" si="4"/>
        <v>0</v>
      </c>
      <c r="L9" s="27">
        <f t="shared" si="4"/>
        <v>0</v>
      </c>
      <c r="M9" s="27">
        <f t="shared" si="4"/>
        <v>0</v>
      </c>
      <c r="N9" s="27">
        <f t="shared" si="4"/>
        <v>0</v>
      </c>
      <c r="O9" s="27">
        <f t="shared" si="4"/>
        <v>0</v>
      </c>
      <c r="P9" s="27">
        <f t="shared" si="4"/>
        <v>0</v>
      </c>
      <c r="Q9" s="27">
        <f t="shared" si="4"/>
        <v>6136.900000000001</v>
      </c>
      <c r="R9" s="27">
        <f t="shared" si="4"/>
        <v>4383.5</v>
      </c>
      <c r="S9" s="27">
        <f t="shared" si="4"/>
        <v>5260.2</v>
      </c>
      <c r="T9" s="27">
        <f t="shared" si="4"/>
        <v>5260.2</v>
      </c>
      <c r="U9" s="27">
        <f t="shared" si="4"/>
        <v>7013.600000000001</v>
      </c>
      <c r="V9" s="27">
        <f t="shared" si="4"/>
        <v>11397.1</v>
      </c>
      <c r="W9" s="27">
        <f t="shared" si="4"/>
        <v>14027.200000000003</v>
      </c>
      <c r="X9" s="27">
        <f t="shared" si="4"/>
        <v>14027.200000000003</v>
      </c>
      <c r="Y9" s="27">
        <f t="shared" si="4"/>
        <v>12273.800000000001</v>
      </c>
      <c r="Z9" s="27">
        <f t="shared" si="4"/>
        <v>10520.4</v>
      </c>
      <c r="AA9" s="27">
        <f t="shared" si="4"/>
        <v>7013.600000000001</v>
      </c>
      <c r="AB9" s="27">
        <f t="shared" si="4"/>
        <v>7890.3</v>
      </c>
      <c r="AC9" s="27">
        <f t="shared" si="4"/>
        <v>105204</v>
      </c>
      <c r="AD9" s="27">
        <f t="shared" si="4"/>
        <v>105204.00000000001</v>
      </c>
      <c r="AE9" s="27">
        <f t="shared" si="4"/>
        <v>105976.20000000001</v>
      </c>
      <c r="AF9" s="27">
        <f t="shared" si="4"/>
        <v>106787.01000000001</v>
      </c>
      <c r="AG9" s="27">
        <f t="shared" si="4"/>
        <v>107638.36050000001</v>
      </c>
      <c r="AH9" s="27">
        <f t="shared" si="4"/>
        <v>108532.27852500002</v>
      </c>
    </row>
    <row r="10" spans="1:34" ht="12.75">
      <c r="A10" s="28" t="s">
        <v>303</v>
      </c>
      <c r="B10" s="27">
        <f aca="true" t="shared" si="5" ref="B10:B17">P10+AC10+AD10+AE10+AF10+AG10+AH10</f>
        <v>538560</v>
      </c>
      <c r="C10" s="27"/>
      <c r="D10" s="29">
        <f>'2-ф2'!D6*Исх!$C$18</f>
        <v>0</v>
      </c>
      <c r="E10" s="29">
        <f>'2-ф2'!E6*Исх!$C$18</f>
        <v>0</v>
      </c>
      <c r="F10" s="29">
        <f>'2-ф2'!F6*Исх!$C$18</f>
        <v>0</v>
      </c>
      <c r="G10" s="29">
        <f>'2-ф2'!G6*Исх!$C$18</f>
        <v>0</v>
      </c>
      <c r="H10" s="29">
        <f>'2-ф2'!H6*Исх!$C$18</f>
        <v>0</v>
      </c>
      <c r="I10" s="29">
        <f>'2-ф2'!I6*Исх!$C$18</f>
        <v>0</v>
      </c>
      <c r="J10" s="29">
        <f>'2-ф2'!J6*Исх!$C$18</f>
        <v>0</v>
      </c>
      <c r="K10" s="29">
        <f>'2-ф2'!K6*Исх!$C$18</f>
        <v>0</v>
      </c>
      <c r="L10" s="29">
        <f>'2-ф2'!L6*Исх!$C$18</f>
        <v>0</v>
      </c>
      <c r="M10" s="29">
        <f>'2-ф2'!M6*Исх!$C$18</f>
        <v>0</v>
      </c>
      <c r="N10" s="29">
        <f>'2-ф2'!N6*Исх!$C$18</f>
        <v>0</v>
      </c>
      <c r="O10" s="29">
        <f>'2-ф2'!O6*Исх!$C$18</f>
        <v>0</v>
      </c>
      <c r="P10" s="27">
        <f>SUM(D10:O10)</f>
        <v>0</v>
      </c>
      <c r="Q10" s="29">
        <f>'2-ф2'!Q6*Исх!$C$18</f>
        <v>5236.000000000001</v>
      </c>
      <c r="R10" s="29">
        <f>'2-ф2'!R6*Исх!$C$18</f>
        <v>3740.0000000000005</v>
      </c>
      <c r="S10" s="29">
        <f>'2-ф2'!S6*Исх!$C$18</f>
        <v>4488</v>
      </c>
      <c r="T10" s="29">
        <f>'2-ф2'!T6*Исх!$C$18</f>
        <v>4488</v>
      </c>
      <c r="U10" s="29">
        <f>'2-ф2'!U6*Исх!$C$18</f>
        <v>5984.000000000001</v>
      </c>
      <c r="V10" s="29">
        <f>'2-ф2'!V6*Исх!$C$18</f>
        <v>9724</v>
      </c>
      <c r="W10" s="29">
        <f>'2-ф2'!W6*Исх!$C$18</f>
        <v>11968.000000000002</v>
      </c>
      <c r="X10" s="29">
        <f>'2-ф2'!X6*Исх!$C$18</f>
        <v>11968.000000000002</v>
      </c>
      <c r="Y10" s="29">
        <f>'2-ф2'!Y6*Исх!$C$18</f>
        <v>10472.000000000002</v>
      </c>
      <c r="Z10" s="29">
        <f>'2-ф2'!Z6*Исх!$C$18</f>
        <v>8976</v>
      </c>
      <c r="AA10" s="29">
        <f>'2-ф2'!AA6*Исх!$C$18</f>
        <v>5984.000000000001</v>
      </c>
      <c r="AB10" s="29">
        <f>'2-ф2'!AB6*Исх!$C$18</f>
        <v>6732</v>
      </c>
      <c r="AC10" s="27">
        <f>SUM(Q10:AB10)</f>
        <v>89760</v>
      </c>
      <c r="AD10" s="29">
        <f>'2-ф2'!AD6*Исх!$C$18</f>
        <v>89760.00000000001</v>
      </c>
      <c r="AE10" s="29">
        <f>'2-ф2'!AE6*Исх!$C$18</f>
        <v>89760.00000000001</v>
      </c>
      <c r="AF10" s="29">
        <f>'2-ф2'!AF6*Исх!$C$18</f>
        <v>89760.00000000001</v>
      </c>
      <c r="AG10" s="29">
        <f>'2-ф2'!AG6*Исх!$C$18</f>
        <v>89760.00000000001</v>
      </c>
      <c r="AH10" s="29">
        <f>'2-ф2'!AH6*Исх!$C$18</f>
        <v>89760.00000000001</v>
      </c>
    </row>
    <row r="11" spans="1:34" ht="12.75">
      <c r="A11" s="28" t="s">
        <v>304</v>
      </c>
      <c r="B11" s="27">
        <f t="shared" si="5"/>
        <v>100781.84902499999</v>
      </c>
      <c r="C11" s="27"/>
      <c r="D11" s="29">
        <f>'2-ф2'!D7*Исх!$C$18</f>
        <v>0</v>
      </c>
      <c r="E11" s="29">
        <f>'2-ф2'!E7*Исх!$C$18</f>
        <v>0</v>
      </c>
      <c r="F11" s="29">
        <f>'2-ф2'!F7*Исх!$C$18</f>
        <v>0</v>
      </c>
      <c r="G11" s="29">
        <f>'2-ф2'!G7*Исх!$C$18</f>
        <v>0</v>
      </c>
      <c r="H11" s="29">
        <f>'2-ф2'!H7*Исх!$C$18</f>
        <v>0</v>
      </c>
      <c r="I11" s="29">
        <f>'2-ф2'!I7*Исх!$C$18</f>
        <v>0</v>
      </c>
      <c r="J11" s="29">
        <f>'2-ф2'!J7*Исх!$C$18</f>
        <v>0</v>
      </c>
      <c r="K11" s="29">
        <f>'2-ф2'!K7*Исх!$C$18</f>
        <v>0</v>
      </c>
      <c r="L11" s="29">
        <f>'2-ф2'!L7*Исх!$C$18</f>
        <v>0</v>
      </c>
      <c r="M11" s="29">
        <f>'2-ф2'!M7*Исх!$C$18</f>
        <v>0</v>
      </c>
      <c r="N11" s="29">
        <f>'2-ф2'!N7*Исх!$C$18</f>
        <v>0</v>
      </c>
      <c r="O11" s="29">
        <f>'2-ф2'!O7*Исх!$C$18</f>
        <v>0</v>
      </c>
      <c r="P11" s="27">
        <f>SUM(D11:O11)</f>
        <v>0</v>
      </c>
      <c r="Q11" s="29">
        <f>'2-ф2'!Q7*Исх!$C$18</f>
        <v>900.8999999999999</v>
      </c>
      <c r="R11" s="29">
        <f>'2-ф2'!R7*Исх!$C$18</f>
        <v>643.5</v>
      </c>
      <c r="S11" s="29">
        <f>'2-ф2'!S7*Исх!$C$18</f>
        <v>772.1999999999999</v>
      </c>
      <c r="T11" s="29">
        <f>'2-ф2'!T7*Исх!$C$18</f>
        <v>772.1999999999999</v>
      </c>
      <c r="U11" s="29">
        <f>'2-ф2'!U7*Исх!$C$18</f>
        <v>1029.6000000000001</v>
      </c>
      <c r="V11" s="29">
        <f>'2-ф2'!V7*Исх!$C$18</f>
        <v>1673.1</v>
      </c>
      <c r="W11" s="29">
        <f>'2-ф2'!W7*Исх!$C$18</f>
        <v>2059.2000000000003</v>
      </c>
      <c r="X11" s="29">
        <f>'2-ф2'!X7*Исх!$C$18</f>
        <v>2059.2000000000003</v>
      </c>
      <c r="Y11" s="29">
        <f>'2-ф2'!Y7*Исх!$C$18</f>
        <v>1801.7999999999997</v>
      </c>
      <c r="Z11" s="29">
        <f>'2-ф2'!Z7*Исх!$C$18</f>
        <v>1544.3999999999999</v>
      </c>
      <c r="AA11" s="29">
        <f>'2-ф2'!AA7*Исх!$C$18</f>
        <v>1029.6000000000001</v>
      </c>
      <c r="AB11" s="29">
        <f>'2-ф2'!AB7*Исх!$C$18</f>
        <v>1158.3</v>
      </c>
      <c r="AC11" s="27">
        <f>SUM(Q11:AB11)</f>
        <v>15444</v>
      </c>
      <c r="AD11" s="29">
        <f>'2-ф2'!AD7*Исх!$C$18</f>
        <v>15443.999999999998</v>
      </c>
      <c r="AE11" s="29">
        <f>'2-ф2'!AE7*Исх!$C$18</f>
        <v>16216.199999999997</v>
      </c>
      <c r="AF11" s="29">
        <f>'2-ф2'!AF7*Исх!$C$18</f>
        <v>17027.01</v>
      </c>
      <c r="AG11" s="29">
        <f>'2-ф2'!AG7*Исх!$C$18</f>
        <v>17878.3605</v>
      </c>
      <c r="AH11" s="29">
        <f>'2-ф2'!AH7*Исх!$C$18</f>
        <v>18772.278525000005</v>
      </c>
    </row>
    <row r="12" spans="1:34" s="21" customFormat="1" ht="12.75">
      <c r="A12" s="30" t="s">
        <v>6</v>
      </c>
      <c r="B12" s="27">
        <f t="shared" si="5"/>
        <v>387759.7172543751</v>
      </c>
      <c r="C12" s="27"/>
      <c r="D12" s="31">
        <f aca="true" t="shared" si="6" ref="D12:AH12">SUM(D13:D17)</f>
        <v>0</v>
      </c>
      <c r="E12" s="31">
        <f t="shared" si="6"/>
        <v>0</v>
      </c>
      <c r="F12" s="31">
        <f t="shared" si="6"/>
        <v>0</v>
      </c>
      <c r="G12" s="31">
        <f t="shared" si="6"/>
        <v>0</v>
      </c>
      <c r="H12" s="31">
        <f t="shared" si="6"/>
        <v>0</v>
      </c>
      <c r="I12" s="31">
        <f t="shared" si="6"/>
        <v>0</v>
      </c>
      <c r="J12" s="31">
        <f t="shared" si="6"/>
        <v>0</v>
      </c>
      <c r="K12" s="31">
        <f t="shared" si="6"/>
        <v>0</v>
      </c>
      <c r="L12" s="31">
        <f t="shared" si="6"/>
        <v>0</v>
      </c>
      <c r="M12" s="31">
        <f t="shared" si="6"/>
        <v>0</v>
      </c>
      <c r="N12" s="31">
        <f t="shared" si="6"/>
        <v>0</v>
      </c>
      <c r="O12" s="31">
        <f t="shared" si="6"/>
        <v>0</v>
      </c>
      <c r="P12" s="31">
        <f t="shared" si="6"/>
        <v>0</v>
      </c>
      <c r="Q12" s="31">
        <f t="shared" si="6"/>
        <v>4734.402297857143</v>
      </c>
      <c r="R12" s="31">
        <f t="shared" si="6"/>
        <v>5615.306255190477</v>
      </c>
      <c r="S12" s="31">
        <f t="shared" si="6"/>
        <v>5583.887357258109</v>
      </c>
      <c r="T12" s="31">
        <f t="shared" si="6"/>
        <v>5552.4684593257425</v>
      </c>
      <c r="U12" s="31">
        <f t="shared" si="6"/>
        <v>5521.0495613933745</v>
      </c>
      <c r="V12" s="31">
        <f t="shared" si="6"/>
        <v>5489.630663461008</v>
      </c>
      <c r="W12" s="31">
        <f t="shared" si="6"/>
        <v>5458.211765528641</v>
      </c>
      <c r="X12" s="31">
        <f t="shared" si="6"/>
        <v>5664.254246836026</v>
      </c>
      <c r="Y12" s="31">
        <f t="shared" si="6"/>
        <v>6308.112080493031</v>
      </c>
      <c r="Z12" s="31">
        <f t="shared" si="6"/>
        <v>5969.869819289994</v>
      </c>
      <c r="AA12" s="31">
        <f t="shared" si="6"/>
        <v>5318.520415229814</v>
      </c>
      <c r="AB12" s="31">
        <f t="shared" si="6"/>
        <v>5449.938868312492</v>
      </c>
      <c r="AC12" s="31">
        <f t="shared" si="6"/>
        <v>66665.65179017586</v>
      </c>
      <c r="AD12" s="31">
        <f t="shared" si="6"/>
        <v>65469.51230305591</v>
      </c>
      <c r="AE12" s="31">
        <f t="shared" si="6"/>
        <v>62155.94805410436</v>
      </c>
      <c r="AF12" s="31">
        <f t="shared" si="6"/>
        <v>66236.72166229568</v>
      </c>
      <c r="AG12" s="31">
        <f t="shared" si="6"/>
        <v>65200.2961365584</v>
      </c>
      <c r="AH12" s="31">
        <f t="shared" si="6"/>
        <v>62031.58730818489</v>
      </c>
    </row>
    <row r="13" spans="1:34" ht="12.75">
      <c r="A13" s="28" t="s">
        <v>176</v>
      </c>
      <c r="B13" s="27">
        <f t="shared" si="5"/>
        <v>53811.370738125</v>
      </c>
      <c r="C13" s="32"/>
      <c r="D13" s="29">
        <f>'2-ф2'!D9*Исх!$C$18</f>
        <v>0</v>
      </c>
      <c r="E13" s="29">
        <f>'2-ф2'!E9*Исх!$C$18</f>
        <v>0</v>
      </c>
      <c r="F13" s="29">
        <f>'2-ф2'!F9*Исх!$C$18</f>
        <v>0</v>
      </c>
      <c r="G13" s="29">
        <f>'2-ф2'!G9*Исх!$C$18</f>
        <v>0</v>
      </c>
      <c r="H13" s="29">
        <f>'2-ф2'!H9*Исх!$C$18</f>
        <v>0</v>
      </c>
      <c r="I13" s="29">
        <f>'2-ф2'!I9*Исх!$C$18</f>
        <v>0</v>
      </c>
      <c r="J13" s="29">
        <f>'2-ф2'!J9*Исх!$C$18</f>
        <v>0</v>
      </c>
      <c r="K13" s="29">
        <f>'2-ф2'!K9*Исх!$C$18</f>
        <v>0</v>
      </c>
      <c r="L13" s="29">
        <f>'2-ф2'!L9*Исх!$C$18</f>
        <v>0</v>
      </c>
      <c r="M13" s="29">
        <f>'2-ф2'!M9*Исх!$C$18</f>
        <v>0</v>
      </c>
      <c r="N13" s="29">
        <f>'2-ф2'!N9*Исх!$C$18</f>
        <v>0</v>
      </c>
      <c r="O13" s="29">
        <f>'2-ф2'!O9*Исх!$C$18</f>
        <v>0</v>
      </c>
      <c r="P13" s="27">
        <f>SUM(D13:O13)</f>
        <v>0</v>
      </c>
      <c r="Q13" s="33">
        <f>'2-ф2'!Q9*Исх!$C$18*3</f>
        <v>1930.5</v>
      </c>
      <c r="R13" s="29">
        <f>'2-ф2'!R9*Исх!$C$18</f>
        <v>643.5</v>
      </c>
      <c r="S13" s="29">
        <f>'2-ф2'!S9*Исх!$C$18</f>
        <v>643.5</v>
      </c>
      <c r="T13" s="29">
        <f>'2-ф2'!T9*Исх!$C$18</f>
        <v>643.5</v>
      </c>
      <c r="U13" s="29">
        <f>'2-ф2'!U9*Исх!$C$18</f>
        <v>643.5</v>
      </c>
      <c r="V13" s="29">
        <f>'2-ф2'!V9*Исх!$C$18</f>
        <v>643.5</v>
      </c>
      <c r="W13" s="29">
        <f>'2-ф2'!W9*Исх!$C$18</f>
        <v>643.5</v>
      </c>
      <c r="X13" s="29">
        <f>'2-ф2'!X9*Исх!$C$18</f>
        <v>643.5</v>
      </c>
      <c r="Y13" s="29">
        <f>'2-ф2'!Y9*Исх!$C$18</f>
        <v>643.5</v>
      </c>
      <c r="Z13" s="29">
        <f>'2-ф2'!Z9*Исх!$C$18</f>
        <v>643.5</v>
      </c>
      <c r="AA13" s="29">
        <f>'2-ф2'!AA9*Исх!$C$18</f>
        <v>643.5</v>
      </c>
      <c r="AB13" s="29">
        <f>'2-ф2'!AB9*Исх!$C$18</f>
        <v>643.5</v>
      </c>
      <c r="AC13" s="27">
        <f>SUM(Q13:AB13)</f>
        <v>9009</v>
      </c>
      <c r="AD13" s="29">
        <f>'2-ф2'!AD9*Исх!$C$18</f>
        <v>8108.0999999999985</v>
      </c>
      <c r="AE13" s="29">
        <f>'2-ф2'!AE9*Исх!$C$18</f>
        <v>8513.505</v>
      </c>
      <c r="AF13" s="29">
        <f>'2-ф2'!AF9*Исх!$C$18</f>
        <v>8939.18025</v>
      </c>
      <c r="AG13" s="29">
        <f>'2-ф2'!AG9*Исх!$C$18</f>
        <v>9386.139262500003</v>
      </c>
      <c r="AH13" s="29">
        <f>'2-ф2'!AH9*Исх!$C$18</f>
        <v>9855.446225625</v>
      </c>
    </row>
    <row r="14" spans="1:34" ht="12.75">
      <c r="A14" s="28" t="s">
        <v>177</v>
      </c>
      <c r="B14" s="27">
        <f t="shared" si="5"/>
        <v>198787.00330285713</v>
      </c>
      <c r="C14" s="2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7">
        <f>SUM(D14:O14)</f>
        <v>0</v>
      </c>
      <c r="Q14" s="29">
        <f>(Пост!$D$21-Пост!$D$6)*Исх!$C$18+Пост!$D$6+Пост!$D$23+Пост!$D$26</f>
        <v>2803.902297857143</v>
      </c>
      <c r="R14" s="29">
        <f>(Пост!$D$21-Пост!$D$6)*Исх!$C$18+Пост!$D$6+Пост!$D$23+Пост!$D$26</f>
        <v>2803.902297857143</v>
      </c>
      <c r="S14" s="29">
        <f>(Пост!$D$21-Пост!$D$6)*Исх!$C$18+Пост!$D$6+Пост!$D$23+Пост!$D$26</f>
        <v>2803.902297857143</v>
      </c>
      <c r="T14" s="29">
        <f>(Пост!$D$21-Пост!$D$6)*Исх!$C$18+Пост!$D$6+Пост!$D$23+Пост!$D$26</f>
        <v>2803.902297857143</v>
      </c>
      <c r="U14" s="29">
        <f>(Пост!$D$21-Пост!$D$6)*Исх!$C$18+Пост!$D$6+Пост!$D$23+Пост!$D$26</f>
        <v>2803.902297857143</v>
      </c>
      <c r="V14" s="29">
        <f>(Пост!$D$21-Пост!$D$6)*Исх!$C$18+Пост!$D$6+Пост!$D$23+Пост!$D$26</f>
        <v>2803.902297857143</v>
      </c>
      <c r="W14" s="29">
        <f>(Пост!$D$21-Пост!$D$6)*Исх!$C$18+Пост!$D$6+Пост!$D$23+Пост!$D$26</f>
        <v>2803.902297857143</v>
      </c>
      <c r="X14" s="29">
        <f>(Пост!$D$21-Пост!$D$6)*Исх!$C$18+Пост!$D$6+Пост!$D$23+Пост!$D$26</f>
        <v>2803.902297857143</v>
      </c>
      <c r="Y14" s="29">
        <f>(Пост!$D$21-Пост!$D$6)*Исх!$C$18+Пост!$D$6+Пост!$D$23+Пост!$D$26</f>
        <v>2803.902297857143</v>
      </c>
      <c r="Z14" s="29">
        <f>(Пост!$D$21-Пост!$D$6)*Исх!$C$18+Пост!$D$6+Пост!$D$23+Пост!$D$26</f>
        <v>2803.902297857143</v>
      </c>
      <c r="AA14" s="29">
        <f>(Пост!$D$21-Пост!$D$6)*Исх!$C$18+Пост!$D$6+Пост!$D$23+Пост!$D$26</f>
        <v>2803.902297857143</v>
      </c>
      <c r="AB14" s="29">
        <f>(Пост!$D$21-Пост!$D$6)*Исх!$C$18+Пост!$D$6+Пост!$D$23+Пост!$D$26</f>
        <v>2803.902297857143</v>
      </c>
      <c r="AC14" s="27">
        <f>SUM(Q14:AB14)</f>
        <v>33646.82757428572</v>
      </c>
      <c r="AD14" s="29">
        <f>((Пост!E21-Пост!E6)*Исх!$C$18+Пост!E6+Пост!E23+Пост!E26)*12</f>
        <v>33440.56343142857</v>
      </c>
      <c r="AE14" s="29">
        <f>((Пост!F21-Пост!F6)*Исх!$C$18+Пост!F6+Пост!F23+Пост!F26)*12</f>
        <v>33234.29928857143</v>
      </c>
      <c r="AF14" s="29">
        <f>((Пост!G21-Пост!G6)*Исх!$C$18+Пост!G6+Пост!G23+Пост!G26)*12</f>
        <v>33028.03514571428</v>
      </c>
      <c r="AG14" s="29">
        <f>((Пост!H21-Пост!H6)*Исх!$C$18+Пост!H6+Пост!H23+Пост!H26)*12</f>
        <v>32821.77100285714</v>
      </c>
      <c r="AH14" s="29">
        <f>((Пост!I21-Пост!I6)*Исх!$C$18+Пост!I6+Пост!I23+Пост!I26)*12</f>
        <v>32615.50686</v>
      </c>
    </row>
    <row r="15" spans="1:34" ht="12.75">
      <c r="A15" s="28" t="s">
        <v>59</v>
      </c>
      <c r="B15" s="27">
        <f t="shared" si="5"/>
        <v>75876.63850666677</v>
      </c>
      <c r="C15" s="27"/>
      <c r="D15" s="29">
        <f>кр!C11</f>
        <v>0</v>
      </c>
      <c r="E15" s="29">
        <f>кр!D11</f>
        <v>0</v>
      </c>
      <c r="F15" s="29">
        <f>кр!E11</f>
        <v>0</v>
      </c>
      <c r="G15" s="29">
        <f>кр!F11</f>
        <v>0</v>
      </c>
      <c r="H15" s="29">
        <f>кр!G11</f>
        <v>0</v>
      </c>
      <c r="I15" s="29">
        <f>кр!H11</f>
        <v>0</v>
      </c>
      <c r="J15" s="29">
        <f>кр!I11</f>
        <v>0</v>
      </c>
      <c r="K15" s="29">
        <f>кр!J11</f>
        <v>0</v>
      </c>
      <c r="L15" s="29">
        <f>кр!K11</f>
        <v>0</v>
      </c>
      <c r="M15" s="29">
        <f>кр!L11</f>
        <v>0</v>
      </c>
      <c r="N15" s="29">
        <f>кр!M11</f>
        <v>0</v>
      </c>
      <c r="O15" s="29">
        <f>кр!N11</f>
        <v>0</v>
      </c>
      <c r="P15" s="27">
        <f>SUM(D15:O15)</f>
        <v>0</v>
      </c>
      <c r="Q15" s="29">
        <f>кр!P11</f>
        <v>0</v>
      </c>
      <c r="R15" s="29">
        <f>кр!Q11</f>
        <v>2167.9039573333334</v>
      </c>
      <c r="S15" s="29">
        <f>кр!R11</f>
        <v>2136.4850594009663</v>
      </c>
      <c r="T15" s="29">
        <f>кр!S11</f>
        <v>2105.066161468599</v>
      </c>
      <c r="U15" s="29">
        <f>кр!T11</f>
        <v>2073.647263536232</v>
      </c>
      <c r="V15" s="29">
        <f>кр!U11</f>
        <v>2042.2283656038653</v>
      </c>
      <c r="W15" s="29">
        <f>кр!V11</f>
        <v>2010.8094676714982</v>
      </c>
      <c r="X15" s="29">
        <f>кр!W11</f>
        <v>1979.390569739131</v>
      </c>
      <c r="Y15" s="29">
        <f>кр!X11</f>
        <v>1947.9716718067639</v>
      </c>
      <c r="Z15" s="29">
        <f>кр!Y11</f>
        <v>1916.5527738743967</v>
      </c>
      <c r="AA15" s="29">
        <f>кр!Z11</f>
        <v>1885.1338759420296</v>
      </c>
      <c r="AB15" s="29">
        <f>кр!AA11</f>
        <v>1853.7149780096624</v>
      </c>
      <c r="AC15" s="27">
        <f>SUM(Q15:AB15)</f>
        <v>22118.904144386477</v>
      </c>
      <c r="AD15" s="34">
        <f>кр!AO11</f>
        <v>19793.905697391314</v>
      </c>
      <c r="AE15" s="34">
        <f>кр!BB11</f>
        <v>15269.584395130452</v>
      </c>
      <c r="AF15" s="34">
        <f>кр!BO11</f>
        <v>10745.263092869589</v>
      </c>
      <c r="AG15" s="34">
        <f>кр!CB11</f>
        <v>6220.94179060872</v>
      </c>
      <c r="AH15" s="34">
        <f>кр!CO11</f>
        <v>1728.0393862802175</v>
      </c>
    </row>
    <row r="16" spans="1:34" ht="12.75">
      <c r="A16" s="28" t="s">
        <v>20</v>
      </c>
      <c r="B16" s="27">
        <f t="shared" si="5"/>
        <v>32669.090604561</v>
      </c>
      <c r="C16" s="27"/>
      <c r="D16" s="29">
        <f>'2-ф2'!D16</f>
        <v>0</v>
      </c>
      <c r="E16" s="29">
        <f>'2-ф2'!E16</f>
        <v>0</v>
      </c>
      <c r="F16" s="29">
        <f>'2-ф2'!F16</f>
        <v>0</v>
      </c>
      <c r="G16" s="29">
        <f>'2-ф2'!G16</f>
        <v>0</v>
      </c>
      <c r="H16" s="29">
        <f>'2-ф2'!H16</f>
        <v>0</v>
      </c>
      <c r="I16" s="29">
        <f>'2-ф2'!I16</f>
        <v>0</v>
      </c>
      <c r="J16" s="29">
        <f>'2-ф2'!J16</f>
        <v>0</v>
      </c>
      <c r="K16" s="29">
        <f>'2-ф2'!K16</f>
        <v>0</v>
      </c>
      <c r="L16" s="29">
        <f>'2-ф2'!L16</f>
        <v>0</v>
      </c>
      <c r="M16" s="29">
        <f>'2-ф2'!M16</f>
        <v>0</v>
      </c>
      <c r="N16" s="29">
        <f>'2-ф2'!N16</f>
        <v>0</v>
      </c>
      <c r="O16" s="29">
        <f>'2-ф2'!O16</f>
        <v>0</v>
      </c>
      <c r="P16" s="27">
        <f>SUM(D16:O16)</f>
        <v>0</v>
      </c>
      <c r="Q16" s="29">
        <f>'2-ф2'!Q16</f>
        <v>0</v>
      </c>
      <c r="R16" s="29">
        <f>'2-ф2'!R16</f>
        <v>0</v>
      </c>
      <c r="S16" s="29">
        <f>'2-ф2'!S16</f>
        <v>0</v>
      </c>
      <c r="T16" s="29">
        <f>'2-ф2'!T16</f>
        <v>0</v>
      </c>
      <c r="U16" s="29">
        <f>'2-ф2'!U16</f>
        <v>0</v>
      </c>
      <c r="V16" s="29">
        <f>'2-ф2'!V16</f>
        <v>0</v>
      </c>
      <c r="W16" s="29">
        <f>'2-ф2'!W16</f>
        <v>0</v>
      </c>
      <c r="X16" s="29">
        <f>'2-ф2'!X16</f>
        <v>237.46137923975186</v>
      </c>
      <c r="Y16" s="29">
        <f>'2-ф2'!Y16</f>
        <v>912.7381108291237</v>
      </c>
      <c r="Z16" s="29">
        <f>'2-ф2'!Z16</f>
        <v>605.914747558454</v>
      </c>
      <c r="AA16" s="29">
        <f>'2-ф2'!AA16</f>
        <v>-14.015758569358333</v>
      </c>
      <c r="AB16" s="29">
        <f>'2-ф2'!AB16</f>
        <v>148.8215924456865</v>
      </c>
      <c r="AC16" s="27">
        <f>SUM(Q16:AB16)</f>
        <v>1890.920071503658</v>
      </c>
      <c r="AD16" s="29">
        <f>'2-ф2'!AD16</f>
        <v>4126.943174236024</v>
      </c>
      <c r="AE16" s="29">
        <f>'2-ф2'!AE16</f>
        <v>5138.559370402483</v>
      </c>
      <c r="AF16" s="29">
        <f>'2-ф2'!AF16</f>
        <v>6153.450521926085</v>
      </c>
      <c r="AG16" s="29">
        <f>'2-ф2'!AG16</f>
        <v>7171.780376574683</v>
      </c>
      <c r="AH16" s="29">
        <f>'2-ф2'!AH16</f>
        <v>8187.437089918065</v>
      </c>
    </row>
    <row r="17" spans="1:34" ht="12.75">
      <c r="A17" s="28" t="s">
        <v>38</v>
      </c>
      <c r="B17" s="27">
        <f t="shared" si="5"/>
        <v>26615.614102165186</v>
      </c>
      <c r="C17" s="27"/>
      <c r="D17" s="29">
        <f>'2-ф2'!D31</f>
        <v>0</v>
      </c>
      <c r="E17" s="29">
        <f>'2-ф2'!E31</f>
        <v>0</v>
      </c>
      <c r="F17" s="29">
        <f>'2-ф2'!F31</f>
        <v>0</v>
      </c>
      <c r="G17" s="29">
        <f>'2-ф2'!G31</f>
        <v>0</v>
      </c>
      <c r="H17" s="29">
        <f>'2-ф2'!H31</f>
        <v>0</v>
      </c>
      <c r="I17" s="29">
        <f>'2-ф2'!I31</f>
        <v>0</v>
      </c>
      <c r="J17" s="29">
        <f>'2-ф2'!J31</f>
        <v>0</v>
      </c>
      <c r="K17" s="29">
        <f>'2-ф2'!K31</f>
        <v>0</v>
      </c>
      <c r="L17" s="29">
        <f>'2-ф2'!L31</f>
        <v>0</v>
      </c>
      <c r="M17" s="29">
        <f>'2-ф2'!M31</f>
        <v>0</v>
      </c>
      <c r="N17" s="29">
        <f>'2-ф2'!N31</f>
        <v>0</v>
      </c>
      <c r="O17" s="29">
        <f>'2-ф2'!O31</f>
        <v>0</v>
      </c>
      <c r="P17" s="27">
        <f>SUM(D17:O17)</f>
        <v>0</v>
      </c>
      <c r="Q17" s="29">
        <f>'2-ф2'!Q31</f>
        <v>0</v>
      </c>
      <c r="R17" s="29">
        <f>'2-ф2'!R31</f>
        <v>0</v>
      </c>
      <c r="S17" s="29">
        <f>'2-ф2'!S31</f>
        <v>0</v>
      </c>
      <c r="T17" s="29">
        <f>'2-ф2'!T31</f>
        <v>0</v>
      </c>
      <c r="U17" s="29">
        <f>'2-ф2'!U31</f>
        <v>0</v>
      </c>
      <c r="V17" s="29">
        <f>'2-ф2'!V31</f>
        <v>0</v>
      </c>
      <c r="W17" s="29">
        <f>'2-ф2'!W31</f>
        <v>0</v>
      </c>
      <c r="X17" s="29">
        <f>'2-ф2'!X31</f>
        <v>0</v>
      </c>
      <c r="Y17" s="29">
        <f>'2-ф2'!Y31</f>
        <v>0</v>
      </c>
      <c r="Z17" s="29">
        <f>'2-ф2'!Z31</f>
        <v>0</v>
      </c>
      <c r="AA17" s="29">
        <f>'2-ф2'!AA31</f>
        <v>0</v>
      </c>
      <c r="AB17" s="29">
        <f>'2-ф2'!AB31</f>
        <v>0</v>
      </c>
      <c r="AC17" s="27">
        <f>SUM(Q17:AB17)</f>
        <v>0</v>
      </c>
      <c r="AD17" s="29">
        <f>'2-ф2'!AD31</f>
        <v>0</v>
      </c>
      <c r="AE17" s="29">
        <f>'2-ф2'!AE31</f>
        <v>0</v>
      </c>
      <c r="AF17" s="29">
        <f>'2-ф2'!AF31</f>
        <v>7370.792651785721</v>
      </c>
      <c r="AG17" s="29">
        <f>'2-ф2'!AG31</f>
        <v>9599.663704017856</v>
      </c>
      <c r="AH17" s="29">
        <f>'2-ф2'!AH31</f>
        <v>9645.157746361607</v>
      </c>
    </row>
    <row r="18" spans="1:34" s="21" customFormat="1" ht="25.5">
      <c r="A18" s="35" t="s">
        <v>21</v>
      </c>
      <c r="B18" s="18">
        <f>B9-B12</f>
        <v>251582.1317706249</v>
      </c>
      <c r="C18" s="18"/>
      <c r="D18" s="18">
        <f aca="true" t="shared" si="7" ref="D18:AH18">D9-D12</f>
        <v>0</v>
      </c>
      <c r="E18" s="18">
        <f t="shared" si="7"/>
        <v>0</v>
      </c>
      <c r="F18" s="18">
        <f t="shared" si="7"/>
        <v>0</v>
      </c>
      <c r="G18" s="18">
        <f t="shared" si="7"/>
        <v>0</v>
      </c>
      <c r="H18" s="18">
        <f t="shared" si="7"/>
        <v>0</v>
      </c>
      <c r="I18" s="18">
        <f t="shared" si="7"/>
        <v>0</v>
      </c>
      <c r="J18" s="18">
        <f t="shared" si="7"/>
        <v>0</v>
      </c>
      <c r="K18" s="18">
        <f t="shared" si="7"/>
        <v>0</v>
      </c>
      <c r="L18" s="18">
        <f t="shared" si="7"/>
        <v>0</v>
      </c>
      <c r="M18" s="18">
        <f t="shared" si="7"/>
        <v>0</v>
      </c>
      <c r="N18" s="18">
        <f t="shared" si="7"/>
        <v>0</v>
      </c>
      <c r="O18" s="18">
        <f t="shared" si="7"/>
        <v>0</v>
      </c>
      <c r="P18" s="18">
        <f t="shared" si="7"/>
        <v>0</v>
      </c>
      <c r="Q18" s="18">
        <f t="shared" si="7"/>
        <v>1402.4977021428576</v>
      </c>
      <c r="R18" s="18">
        <f t="shared" si="7"/>
        <v>-1231.8062551904768</v>
      </c>
      <c r="S18" s="18">
        <f t="shared" si="7"/>
        <v>-323.68735725810893</v>
      </c>
      <c r="T18" s="18">
        <f t="shared" si="7"/>
        <v>-292.2684593257427</v>
      </c>
      <c r="U18" s="18">
        <f t="shared" si="7"/>
        <v>1492.5504386066268</v>
      </c>
      <c r="V18" s="18">
        <f t="shared" si="7"/>
        <v>5907.469336538992</v>
      </c>
      <c r="W18" s="18">
        <f t="shared" si="7"/>
        <v>8568.988234471362</v>
      </c>
      <c r="X18" s="18">
        <f t="shared" si="7"/>
        <v>8362.945753163976</v>
      </c>
      <c r="Y18" s="18">
        <f t="shared" si="7"/>
        <v>5965.6879195069705</v>
      </c>
      <c r="Z18" s="18">
        <f t="shared" si="7"/>
        <v>4550.530180710006</v>
      </c>
      <c r="AA18" s="18">
        <f t="shared" si="7"/>
        <v>1695.0795847701875</v>
      </c>
      <c r="AB18" s="18">
        <f t="shared" si="7"/>
        <v>2440.3611316875085</v>
      </c>
      <c r="AC18" s="18">
        <f t="shared" si="7"/>
        <v>38538.34820982414</v>
      </c>
      <c r="AD18" s="18">
        <f t="shared" si="7"/>
        <v>39734.4876969441</v>
      </c>
      <c r="AE18" s="18">
        <f t="shared" si="7"/>
        <v>43820.25194589565</v>
      </c>
      <c r="AF18" s="18">
        <f t="shared" si="7"/>
        <v>40550.28833770433</v>
      </c>
      <c r="AG18" s="18">
        <f t="shared" si="7"/>
        <v>42438.06436344161</v>
      </c>
      <c r="AH18" s="18">
        <f t="shared" si="7"/>
        <v>46500.691216815125</v>
      </c>
    </row>
    <row r="19" spans="1:34" s="21" customFormat="1" ht="12.75">
      <c r="A19" s="22" t="s">
        <v>22</v>
      </c>
      <c r="B19" s="23"/>
      <c r="C19" s="23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6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6"/>
      <c r="AD19" s="36"/>
      <c r="AE19" s="36"/>
      <c r="AF19" s="36"/>
      <c r="AG19" s="36"/>
      <c r="AH19" s="36"/>
    </row>
    <row r="20" spans="1:34" s="21" customFormat="1" ht="12.75">
      <c r="A20" s="26" t="s">
        <v>7</v>
      </c>
      <c r="B20" s="27"/>
      <c r="C20" s="2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27"/>
      <c r="AD20" s="27"/>
      <c r="AE20" s="27"/>
      <c r="AF20" s="27"/>
      <c r="AG20" s="27"/>
      <c r="AH20" s="27"/>
    </row>
    <row r="21" spans="1:34" s="21" customFormat="1" ht="12.75">
      <c r="A21" s="26" t="s">
        <v>8</v>
      </c>
      <c r="B21" s="27">
        <f>P21+AC21+AD21+AE21+AF21+AG21+AH21</f>
        <v>285185.92</v>
      </c>
      <c r="C21" s="27"/>
      <c r="D21" s="27">
        <f aca="true" t="shared" si="8" ref="D21:AC21">SUM(D22:D23)</f>
        <v>0</v>
      </c>
      <c r="E21" s="27">
        <f t="shared" si="8"/>
        <v>0</v>
      </c>
      <c r="F21" s="27">
        <f t="shared" si="8"/>
        <v>0</v>
      </c>
      <c r="G21" s="27">
        <f t="shared" si="8"/>
        <v>0</v>
      </c>
      <c r="H21" s="27">
        <f>SUM(H22:H23)</f>
        <v>32388.977777777778</v>
      </c>
      <c r="I21" s="27">
        <f t="shared" si="8"/>
        <v>32388.977777777778</v>
      </c>
      <c r="J21" s="27">
        <f t="shared" si="8"/>
        <v>32388.977777777778</v>
      </c>
      <c r="K21" s="27">
        <f t="shared" si="8"/>
        <v>32388.977777777778</v>
      </c>
      <c r="L21" s="27">
        <f t="shared" si="8"/>
        <v>32388.977777777778</v>
      </c>
      <c r="M21" s="27">
        <f t="shared" si="8"/>
        <v>66397.40444444444</v>
      </c>
      <c r="N21" s="27">
        <f t="shared" si="8"/>
        <v>45426.026666666665</v>
      </c>
      <c r="O21" s="27">
        <f t="shared" si="8"/>
        <v>11417.6</v>
      </c>
      <c r="P21" s="27">
        <f t="shared" si="8"/>
        <v>285185.92</v>
      </c>
      <c r="Q21" s="27">
        <f t="shared" si="8"/>
        <v>0</v>
      </c>
      <c r="R21" s="27">
        <f t="shared" si="8"/>
        <v>0</v>
      </c>
      <c r="S21" s="27">
        <f t="shared" si="8"/>
        <v>0</v>
      </c>
      <c r="T21" s="27">
        <f t="shared" si="8"/>
        <v>0</v>
      </c>
      <c r="U21" s="27">
        <f t="shared" si="8"/>
        <v>0</v>
      </c>
      <c r="V21" s="27">
        <f t="shared" si="8"/>
        <v>0</v>
      </c>
      <c r="W21" s="27">
        <f t="shared" si="8"/>
        <v>0</v>
      </c>
      <c r="X21" s="27">
        <f t="shared" si="8"/>
        <v>0</v>
      </c>
      <c r="Y21" s="27">
        <f t="shared" si="8"/>
        <v>0</v>
      </c>
      <c r="Z21" s="27">
        <f t="shared" si="8"/>
        <v>0</v>
      </c>
      <c r="AA21" s="27">
        <f t="shared" si="8"/>
        <v>0</v>
      </c>
      <c r="AB21" s="27">
        <f t="shared" si="8"/>
        <v>0</v>
      </c>
      <c r="AC21" s="27">
        <f t="shared" si="8"/>
        <v>0</v>
      </c>
      <c r="AD21" s="27">
        <f>SUM(AD22:AD23)</f>
        <v>0</v>
      </c>
      <c r="AE21" s="27">
        <f>SUM(AE22:AE23)</f>
        <v>0</v>
      </c>
      <c r="AF21" s="27">
        <f>SUM(AF22:AF23)</f>
        <v>0</v>
      </c>
      <c r="AG21" s="27">
        <f>SUM(AG22:AG23)</f>
        <v>0</v>
      </c>
      <c r="AH21" s="27">
        <f>SUM(AH22:AH23)</f>
        <v>0</v>
      </c>
    </row>
    <row r="22" spans="1:34" ht="12.75">
      <c r="A22" s="38" t="s">
        <v>23</v>
      </c>
      <c r="B22" s="27">
        <f>P22+AC22+AD22+AE22+AF22+AG22+AH22</f>
        <v>285185.92</v>
      </c>
      <c r="C22" s="27"/>
      <c r="D22" s="29">
        <f>Инв!E37</f>
        <v>0</v>
      </c>
      <c r="E22" s="29">
        <f>Инв!F37</f>
        <v>0</v>
      </c>
      <c r="F22" s="29">
        <f>Инв!G37</f>
        <v>0</v>
      </c>
      <c r="G22" s="29">
        <f>Инв!H37</f>
        <v>0</v>
      </c>
      <c r="H22" s="29">
        <f>Инв!I37</f>
        <v>32388.977777777778</v>
      </c>
      <c r="I22" s="29">
        <f>Инв!J37</f>
        <v>32388.977777777778</v>
      </c>
      <c r="J22" s="29">
        <f>Инв!K37</f>
        <v>32388.977777777778</v>
      </c>
      <c r="K22" s="29">
        <f>Инв!L37</f>
        <v>32388.977777777778</v>
      </c>
      <c r="L22" s="29">
        <f>Инв!M37</f>
        <v>32388.977777777778</v>
      </c>
      <c r="M22" s="29">
        <f>Инв!N37</f>
        <v>66397.40444444444</v>
      </c>
      <c r="N22" s="29">
        <f>Инв!O37</f>
        <v>45426.026666666665</v>
      </c>
      <c r="O22" s="29">
        <f>Инв!P37</f>
        <v>11417.6</v>
      </c>
      <c r="P22" s="27">
        <f>SUM(D22:O22)</f>
        <v>285185.92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7">
        <f>SUM(Q22:AB22)</f>
        <v>0</v>
      </c>
      <c r="AD22" s="27"/>
      <c r="AE22" s="27"/>
      <c r="AF22" s="27"/>
      <c r="AG22" s="27"/>
      <c r="AH22" s="27"/>
    </row>
    <row r="23" spans="1:34" ht="12.75" outlineLevel="1">
      <c r="A23" s="38"/>
      <c r="B23" s="27"/>
      <c r="C23" s="27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7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7"/>
      <c r="AD23" s="27"/>
      <c r="AE23" s="27"/>
      <c r="AF23" s="27"/>
      <c r="AG23" s="27"/>
      <c r="AH23" s="27"/>
    </row>
    <row r="24" spans="1:34" s="21" customFormat="1" ht="25.5">
      <c r="A24" s="39" t="s">
        <v>24</v>
      </c>
      <c r="B24" s="18">
        <f>B20-B21</f>
        <v>-285185.92</v>
      </c>
      <c r="C24" s="18"/>
      <c r="D24" s="18">
        <f>D20-D21</f>
        <v>0</v>
      </c>
      <c r="E24" s="18">
        <f aca="true" t="shared" si="9" ref="E24:O24">E20-E21</f>
        <v>0</v>
      </c>
      <c r="F24" s="18">
        <f t="shared" si="9"/>
        <v>0</v>
      </c>
      <c r="G24" s="18">
        <f t="shared" si="9"/>
        <v>0</v>
      </c>
      <c r="H24" s="18">
        <f t="shared" si="9"/>
        <v>-32388.977777777778</v>
      </c>
      <c r="I24" s="18">
        <f t="shared" si="9"/>
        <v>-32388.977777777778</v>
      </c>
      <c r="J24" s="18">
        <f>J20-J21</f>
        <v>-32388.977777777778</v>
      </c>
      <c r="K24" s="18">
        <f t="shared" si="9"/>
        <v>-32388.977777777778</v>
      </c>
      <c r="L24" s="18">
        <f t="shared" si="9"/>
        <v>-32388.977777777778</v>
      </c>
      <c r="M24" s="18">
        <f t="shared" si="9"/>
        <v>-66397.40444444444</v>
      </c>
      <c r="N24" s="18">
        <f t="shared" si="9"/>
        <v>-45426.026666666665</v>
      </c>
      <c r="O24" s="18">
        <f t="shared" si="9"/>
        <v>-11417.6</v>
      </c>
      <c r="P24" s="18">
        <f>SUM(D24:O24)</f>
        <v>-285185.92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s="43" customFormat="1" ht="12.75">
      <c r="A25" s="40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2"/>
      <c r="AD25" s="42"/>
      <c r="AE25" s="42"/>
      <c r="AF25" s="42"/>
      <c r="AG25" s="42"/>
      <c r="AH25" s="42"/>
    </row>
    <row r="26" spans="1:34" s="21" customFormat="1" ht="12.75">
      <c r="A26" s="22" t="s">
        <v>26</v>
      </c>
      <c r="B26" s="23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6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36"/>
      <c r="AD26" s="36"/>
      <c r="AE26" s="36"/>
      <c r="AF26" s="36"/>
      <c r="AG26" s="36"/>
      <c r="AH26" s="36"/>
    </row>
    <row r="27" spans="1:34" s="21" customFormat="1" ht="12.75">
      <c r="A27" s="26" t="s">
        <v>7</v>
      </c>
      <c r="B27" s="27">
        <f>SUM(B28:B29)</f>
        <v>296852.58666666667</v>
      </c>
      <c r="C27" s="27"/>
      <c r="D27" s="27">
        <f>SUM(D28:D29)</f>
        <v>0</v>
      </c>
      <c r="E27" s="27">
        <f aca="true" t="shared" si="10" ref="E27:O27">SUM(E28:E29)</f>
        <v>0</v>
      </c>
      <c r="F27" s="27">
        <f t="shared" si="10"/>
        <v>0</v>
      </c>
      <c r="G27" s="27">
        <f t="shared" si="10"/>
        <v>0</v>
      </c>
      <c r="H27" s="27">
        <f t="shared" si="10"/>
        <v>32388.977777777778</v>
      </c>
      <c r="I27" s="27">
        <f t="shared" si="10"/>
        <v>32388.977777777778</v>
      </c>
      <c r="J27" s="27">
        <f t="shared" si="10"/>
        <v>32388.977777777778</v>
      </c>
      <c r="K27" s="27">
        <f t="shared" si="10"/>
        <v>32388.977777777778</v>
      </c>
      <c r="L27" s="27">
        <f t="shared" si="10"/>
        <v>32388.977777777778</v>
      </c>
      <c r="M27" s="27">
        <f t="shared" si="10"/>
        <v>66397.40444444444</v>
      </c>
      <c r="N27" s="27">
        <f t="shared" si="10"/>
        <v>45426.026666666665</v>
      </c>
      <c r="O27" s="27">
        <f t="shared" si="10"/>
        <v>19584.266666666666</v>
      </c>
      <c r="P27" s="27">
        <f aca="true" t="shared" si="11" ref="P27:AD27">SUM(P28:P29)</f>
        <v>293352.58666666667</v>
      </c>
      <c r="Q27" s="27">
        <f t="shared" si="11"/>
        <v>3500</v>
      </c>
      <c r="R27" s="27">
        <f t="shared" si="11"/>
        <v>0</v>
      </c>
      <c r="S27" s="27">
        <f t="shared" si="11"/>
        <v>0</v>
      </c>
      <c r="T27" s="27">
        <f t="shared" si="11"/>
        <v>0</v>
      </c>
      <c r="U27" s="27">
        <f t="shared" si="11"/>
        <v>0</v>
      </c>
      <c r="V27" s="27">
        <f t="shared" si="11"/>
        <v>0</v>
      </c>
      <c r="W27" s="27">
        <f t="shared" si="11"/>
        <v>0</v>
      </c>
      <c r="X27" s="27">
        <f t="shared" si="11"/>
        <v>0</v>
      </c>
      <c r="Y27" s="27">
        <f t="shared" si="11"/>
        <v>0</v>
      </c>
      <c r="Z27" s="27">
        <f t="shared" si="11"/>
        <v>0</v>
      </c>
      <c r="AA27" s="27">
        <f t="shared" si="11"/>
        <v>0</v>
      </c>
      <c r="AB27" s="27">
        <f t="shared" si="11"/>
        <v>0</v>
      </c>
      <c r="AC27" s="27">
        <f t="shared" si="11"/>
        <v>3500</v>
      </c>
      <c r="AD27" s="27">
        <f t="shared" si="11"/>
        <v>0</v>
      </c>
      <c r="AE27" s="27">
        <f>SUM(AE28:AE29)</f>
        <v>0</v>
      </c>
      <c r="AF27" s="27">
        <f>SUM(AF28:AF29)</f>
        <v>0</v>
      </c>
      <c r="AG27" s="27">
        <f>SUM(AG28:AG29)</f>
        <v>0</v>
      </c>
      <c r="AH27" s="27">
        <f>SUM(AH28:AH29)</f>
        <v>0</v>
      </c>
    </row>
    <row r="28" spans="1:34" ht="12.75" customHeight="1">
      <c r="A28" s="38" t="s">
        <v>61</v>
      </c>
      <c r="B28" s="27">
        <f>P28+AC28+AD28+AE28+AF28+AG28+AH28</f>
        <v>89055.776</v>
      </c>
      <c r="C28" s="27"/>
      <c r="D28" s="29">
        <f>(-D18-D24)*Исх!$C$8</f>
        <v>0</v>
      </c>
      <c r="E28" s="29">
        <f>(-E18-E24)*Исх!$C$8</f>
        <v>0</v>
      </c>
      <c r="F28" s="29">
        <f>(-F18-F24)*Исх!$C$8</f>
        <v>0</v>
      </c>
      <c r="G28" s="29">
        <f>(-G18-G24)*Исх!$C$8</f>
        <v>0</v>
      </c>
      <c r="H28" s="29">
        <f>(-H18-H24)*Исх!$C$8</f>
        <v>9716.693333333333</v>
      </c>
      <c r="I28" s="29">
        <f>(-I18-I24)*Исх!$C$8</f>
        <v>9716.693333333333</v>
      </c>
      <c r="J28" s="29">
        <f>(-J18-J24)*Исх!$C$8</f>
        <v>9716.693333333333</v>
      </c>
      <c r="K28" s="29">
        <f>(-K18-K24)*Исх!$C$8</f>
        <v>9716.693333333333</v>
      </c>
      <c r="L28" s="29">
        <f>(-L18-L24)*Исх!$C$8</f>
        <v>9716.693333333333</v>
      </c>
      <c r="M28" s="29">
        <f>(-M18-M24)*Исх!$C$8</f>
        <v>19919.22133333333</v>
      </c>
      <c r="N28" s="29">
        <f>(-N18-N24)*Исх!$C$8</f>
        <v>13627.807999999999</v>
      </c>
      <c r="O28" s="29">
        <f>(-O18-O24)*Исх!$C$8</f>
        <v>3425.28</v>
      </c>
      <c r="P28" s="27">
        <f>SUM(D28:O28)</f>
        <v>85555.776</v>
      </c>
      <c r="Q28" s="33">
        <v>3500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7">
        <f>SUM(Q28:AB28)</f>
        <v>3500</v>
      </c>
      <c r="AD28" s="27"/>
      <c r="AE28" s="27"/>
      <c r="AF28" s="27"/>
      <c r="AG28" s="27"/>
      <c r="AH28" s="27"/>
    </row>
    <row r="29" spans="1:34" ht="12.75">
      <c r="A29" s="44" t="s">
        <v>195</v>
      </c>
      <c r="B29" s="27">
        <f>P29+AC29+AD29+AE29+AF29+AG29+AH29</f>
        <v>207796.8106666667</v>
      </c>
      <c r="C29" s="27"/>
      <c r="D29" s="45">
        <f>(-D18-D24)-D28</f>
        <v>0</v>
      </c>
      <c r="E29" s="45">
        <f>(-E18-E24)-E28</f>
        <v>0</v>
      </c>
      <c r="F29" s="45">
        <f>(-F18-F24)-F28</f>
        <v>0</v>
      </c>
      <c r="G29" s="45">
        <f>(-G18-G24)-G28</f>
        <v>0</v>
      </c>
      <c r="H29" s="45">
        <f>(-H18-H24)-H28</f>
        <v>22672.284444444445</v>
      </c>
      <c r="I29" s="45">
        <f aca="true" t="shared" si="12" ref="I29:N29">(-I18-I24)-I28</f>
        <v>22672.284444444445</v>
      </c>
      <c r="J29" s="45">
        <f t="shared" si="12"/>
        <v>22672.284444444445</v>
      </c>
      <c r="K29" s="45">
        <f t="shared" si="12"/>
        <v>22672.284444444445</v>
      </c>
      <c r="L29" s="45">
        <f t="shared" si="12"/>
        <v>22672.284444444445</v>
      </c>
      <c r="M29" s="45">
        <f t="shared" si="12"/>
        <v>46478.18311111111</v>
      </c>
      <c r="N29" s="45">
        <f t="shared" si="12"/>
        <v>31798.218666666668</v>
      </c>
      <c r="O29" s="45">
        <f>(-O18-O24)-O28+Q28/Исх!C8*(1-Исх!C8)</f>
        <v>16158.986666666668</v>
      </c>
      <c r="P29" s="27">
        <f>SUM(D29:O29)</f>
        <v>207796.8106666667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27">
        <f>SUM(Q29:AB29)</f>
        <v>0</v>
      </c>
      <c r="AD29" s="27"/>
      <c r="AE29" s="27"/>
      <c r="AF29" s="27"/>
      <c r="AG29" s="27"/>
      <c r="AH29" s="27"/>
    </row>
    <row r="30" spans="1:34" s="21" customFormat="1" ht="12.75">
      <c r="A30" s="26" t="s">
        <v>8</v>
      </c>
      <c r="B30" s="27">
        <f>SUM(B31:B32)</f>
        <v>216790.39573333334</v>
      </c>
      <c r="C30" s="27"/>
      <c r="D30" s="27">
        <f>SUM(D31:D32)</f>
        <v>0</v>
      </c>
      <c r="E30" s="27">
        <f aca="true" t="shared" si="13" ref="E30:AF30">SUM(E31:E32)</f>
        <v>0</v>
      </c>
      <c r="F30" s="27">
        <f t="shared" si="13"/>
        <v>0</v>
      </c>
      <c r="G30" s="27">
        <f t="shared" si="13"/>
        <v>0</v>
      </c>
      <c r="H30" s="27">
        <f t="shared" si="13"/>
        <v>0</v>
      </c>
      <c r="I30" s="27">
        <f>SUM(I31:I32)</f>
        <v>0</v>
      </c>
      <c r="J30" s="27">
        <f t="shared" si="13"/>
        <v>0</v>
      </c>
      <c r="K30" s="27">
        <f t="shared" si="13"/>
        <v>0</v>
      </c>
      <c r="L30" s="27">
        <f t="shared" si="13"/>
        <v>0</v>
      </c>
      <c r="M30" s="27">
        <f t="shared" si="13"/>
        <v>0</v>
      </c>
      <c r="N30" s="27">
        <f t="shared" si="13"/>
        <v>0</v>
      </c>
      <c r="O30" s="27">
        <f t="shared" si="13"/>
        <v>0</v>
      </c>
      <c r="P30" s="27">
        <f t="shared" si="13"/>
        <v>0</v>
      </c>
      <c r="Q30" s="27">
        <f t="shared" si="13"/>
        <v>0</v>
      </c>
      <c r="R30" s="27">
        <f t="shared" si="13"/>
        <v>3141.8897932367154</v>
      </c>
      <c r="S30" s="27">
        <f t="shared" si="13"/>
        <v>3141.8897932367154</v>
      </c>
      <c r="T30" s="27">
        <f t="shared" si="13"/>
        <v>3141.8897932367154</v>
      </c>
      <c r="U30" s="27">
        <f t="shared" si="13"/>
        <v>3141.8897932367154</v>
      </c>
      <c r="V30" s="27">
        <f t="shared" si="13"/>
        <v>3141.8897932367154</v>
      </c>
      <c r="W30" s="27">
        <f t="shared" si="13"/>
        <v>3141.8897932367154</v>
      </c>
      <c r="X30" s="27">
        <f t="shared" si="13"/>
        <v>3141.8897932367154</v>
      </c>
      <c r="Y30" s="27">
        <f t="shared" si="13"/>
        <v>3141.8897932367154</v>
      </c>
      <c r="Z30" s="27">
        <f t="shared" si="13"/>
        <v>3141.8897932367154</v>
      </c>
      <c r="AA30" s="27">
        <f t="shared" si="13"/>
        <v>3141.8897932367154</v>
      </c>
      <c r="AB30" s="27">
        <f t="shared" si="13"/>
        <v>3141.8897932367154</v>
      </c>
      <c r="AC30" s="27">
        <f t="shared" si="13"/>
        <v>34560.78772560386</v>
      </c>
      <c r="AD30" s="27">
        <f t="shared" si="13"/>
        <v>37702.67751884058</v>
      </c>
      <c r="AE30" s="27">
        <f t="shared" si="13"/>
        <v>37702.67751884058</v>
      </c>
      <c r="AF30" s="27">
        <f t="shared" si="13"/>
        <v>37702.67751884058</v>
      </c>
      <c r="AG30" s="27">
        <f>SUM(AG31:AG32)</f>
        <v>37702.67751884058</v>
      </c>
      <c r="AH30" s="27">
        <f>SUM(AH31:AH32)</f>
        <v>31418.89793236715</v>
      </c>
    </row>
    <row r="31" spans="1:34" ht="12.75">
      <c r="A31" s="28" t="s">
        <v>36</v>
      </c>
      <c r="B31" s="27">
        <f>P31+AC31+AD31+AE31+AF31+AG31+AH31</f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27">
        <f>SUM(D31:O31)</f>
        <v>0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27">
        <f>SUM(Q31:AB31)</f>
        <v>0</v>
      </c>
      <c r="AD31" s="27"/>
      <c r="AE31" s="27"/>
      <c r="AF31" s="27"/>
      <c r="AG31" s="27"/>
      <c r="AH31" s="27"/>
    </row>
    <row r="32" spans="1:34" ht="13.5" customHeight="1">
      <c r="A32" s="38" t="s">
        <v>194</v>
      </c>
      <c r="B32" s="27">
        <f>P32+AC32+AD32+AE32+AF32+AG32+AH32</f>
        <v>216790.39573333334</v>
      </c>
      <c r="C32" s="27"/>
      <c r="D32" s="34">
        <f>кр!C10</f>
        <v>0</v>
      </c>
      <c r="E32" s="34">
        <f>кр!D10</f>
        <v>0</v>
      </c>
      <c r="F32" s="34">
        <f>кр!E10</f>
        <v>0</v>
      </c>
      <c r="G32" s="34">
        <f>кр!F10</f>
        <v>0</v>
      </c>
      <c r="H32" s="34">
        <f>кр!G10</f>
        <v>0</v>
      </c>
      <c r="I32" s="34">
        <f>кр!H10</f>
        <v>0</v>
      </c>
      <c r="J32" s="34">
        <f>кр!I10</f>
        <v>0</v>
      </c>
      <c r="K32" s="34">
        <f>кр!J10</f>
        <v>0</v>
      </c>
      <c r="L32" s="34">
        <f>кр!K10</f>
        <v>0</v>
      </c>
      <c r="M32" s="34">
        <f>кр!L10</f>
        <v>0</v>
      </c>
      <c r="N32" s="34">
        <f>кр!M10</f>
        <v>0</v>
      </c>
      <c r="O32" s="34">
        <f>кр!N10</f>
        <v>0</v>
      </c>
      <c r="P32" s="27">
        <f>SUM(D32:O32)</f>
        <v>0</v>
      </c>
      <c r="Q32" s="34">
        <f>кр!P10</f>
        <v>0</v>
      </c>
      <c r="R32" s="34">
        <f>кр!Q10</f>
        <v>3141.8897932367154</v>
      </c>
      <c r="S32" s="34">
        <f>кр!R10</f>
        <v>3141.8897932367154</v>
      </c>
      <c r="T32" s="34">
        <f>кр!S10</f>
        <v>3141.8897932367154</v>
      </c>
      <c r="U32" s="34">
        <f>кр!T10</f>
        <v>3141.8897932367154</v>
      </c>
      <c r="V32" s="34">
        <f>кр!U10</f>
        <v>3141.8897932367154</v>
      </c>
      <c r="W32" s="34">
        <f>кр!V10</f>
        <v>3141.8897932367154</v>
      </c>
      <c r="X32" s="34">
        <f>кр!W10</f>
        <v>3141.8897932367154</v>
      </c>
      <c r="Y32" s="34">
        <f>кр!X10</f>
        <v>3141.8897932367154</v>
      </c>
      <c r="Z32" s="34">
        <f>кр!Y10</f>
        <v>3141.8897932367154</v>
      </c>
      <c r="AA32" s="34">
        <f>кр!Z10</f>
        <v>3141.8897932367154</v>
      </c>
      <c r="AB32" s="34">
        <f>кр!AA10</f>
        <v>3141.8897932367154</v>
      </c>
      <c r="AC32" s="27">
        <f>SUM(Q32:AB32)</f>
        <v>34560.78772560386</v>
      </c>
      <c r="AD32" s="34">
        <f>кр!AO10</f>
        <v>37702.67751884058</v>
      </c>
      <c r="AE32" s="34">
        <f>кр!BB10</f>
        <v>37702.67751884058</v>
      </c>
      <c r="AF32" s="34">
        <f>кр!BO10</f>
        <v>37702.67751884058</v>
      </c>
      <c r="AG32" s="34">
        <f>кр!CB10</f>
        <v>37702.67751884058</v>
      </c>
      <c r="AH32" s="34">
        <f>кр!CO10</f>
        <v>31418.89793236715</v>
      </c>
    </row>
    <row r="33" spans="1:34" s="21" customFormat="1" ht="25.5">
      <c r="A33" s="39" t="s">
        <v>27</v>
      </c>
      <c r="B33" s="18">
        <f>B27-B30</f>
        <v>80062.19093333333</v>
      </c>
      <c r="C33" s="18"/>
      <c r="D33" s="18">
        <f>D27-D30</f>
        <v>0</v>
      </c>
      <c r="E33" s="18">
        <f aca="true" t="shared" si="14" ref="E33:AF33">E27-E30</f>
        <v>0</v>
      </c>
      <c r="F33" s="18">
        <f t="shared" si="14"/>
        <v>0</v>
      </c>
      <c r="G33" s="18">
        <f t="shared" si="14"/>
        <v>0</v>
      </c>
      <c r="H33" s="18">
        <f t="shared" si="14"/>
        <v>32388.977777777778</v>
      </c>
      <c r="I33" s="18">
        <f t="shared" si="14"/>
        <v>32388.977777777778</v>
      </c>
      <c r="J33" s="18">
        <f t="shared" si="14"/>
        <v>32388.977777777778</v>
      </c>
      <c r="K33" s="18">
        <f t="shared" si="14"/>
        <v>32388.977777777778</v>
      </c>
      <c r="L33" s="18">
        <f t="shared" si="14"/>
        <v>32388.977777777778</v>
      </c>
      <c r="M33" s="18">
        <f t="shared" si="14"/>
        <v>66397.40444444444</v>
      </c>
      <c r="N33" s="18">
        <f t="shared" si="14"/>
        <v>45426.026666666665</v>
      </c>
      <c r="O33" s="18">
        <f t="shared" si="14"/>
        <v>19584.266666666666</v>
      </c>
      <c r="P33" s="18">
        <f t="shared" si="14"/>
        <v>293352.58666666667</v>
      </c>
      <c r="Q33" s="18">
        <f t="shared" si="14"/>
        <v>3500</v>
      </c>
      <c r="R33" s="18">
        <f t="shared" si="14"/>
        <v>-3141.8897932367154</v>
      </c>
      <c r="S33" s="18">
        <f t="shared" si="14"/>
        <v>-3141.8897932367154</v>
      </c>
      <c r="T33" s="18">
        <f t="shared" si="14"/>
        <v>-3141.8897932367154</v>
      </c>
      <c r="U33" s="18">
        <f t="shared" si="14"/>
        <v>-3141.8897932367154</v>
      </c>
      <c r="V33" s="18">
        <f t="shared" si="14"/>
        <v>-3141.8897932367154</v>
      </c>
      <c r="W33" s="18">
        <f t="shared" si="14"/>
        <v>-3141.8897932367154</v>
      </c>
      <c r="X33" s="18">
        <f t="shared" si="14"/>
        <v>-3141.8897932367154</v>
      </c>
      <c r="Y33" s="18">
        <f t="shared" si="14"/>
        <v>-3141.8897932367154</v>
      </c>
      <c r="Z33" s="18">
        <f t="shared" si="14"/>
        <v>-3141.8897932367154</v>
      </c>
      <c r="AA33" s="18">
        <f t="shared" si="14"/>
        <v>-3141.8897932367154</v>
      </c>
      <c r="AB33" s="18">
        <f t="shared" si="14"/>
        <v>-3141.8897932367154</v>
      </c>
      <c r="AC33" s="18">
        <f t="shared" si="14"/>
        <v>-31060.787725603863</v>
      </c>
      <c r="AD33" s="18">
        <f t="shared" si="14"/>
        <v>-37702.67751884058</v>
      </c>
      <c r="AE33" s="18">
        <f t="shared" si="14"/>
        <v>-37702.67751884058</v>
      </c>
      <c r="AF33" s="18">
        <f t="shared" si="14"/>
        <v>-37702.67751884058</v>
      </c>
      <c r="AG33" s="18">
        <f>AG27-AG30</f>
        <v>-37702.67751884058</v>
      </c>
      <c r="AH33" s="18">
        <f>AH27-AH30</f>
        <v>-31418.89793236715</v>
      </c>
    </row>
    <row r="34" spans="1:34" s="48" customFormat="1" ht="12.75">
      <c r="A34" s="46" t="s">
        <v>28</v>
      </c>
      <c r="B34" s="47">
        <f>B18+B24+B33</f>
        <v>46458.40270395824</v>
      </c>
      <c r="C34" s="27"/>
      <c r="D34" s="47">
        <f>D18+D24+D33</f>
        <v>0</v>
      </c>
      <c r="E34" s="47">
        <f aca="true" t="shared" si="15" ref="E34:AF34">E18+E24+E33</f>
        <v>0</v>
      </c>
      <c r="F34" s="47">
        <f t="shared" si="15"/>
        <v>0</v>
      </c>
      <c r="G34" s="47">
        <f t="shared" si="15"/>
        <v>0</v>
      </c>
      <c r="H34" s="47">
        <f t="shared" si="15"/>
        <v>0</v>
      </c>
      <c r="I34" s="47">
        <f t="shared" si="15"/>
        <v>0</v>
      </c>
      <c r="J34" s="47">
        <f t="shared" si="15"/>
        <v>0</v>
      </c>
      <c r="K34" s="47">
        <f t="shared" si="15"/>
        <v>0</v>
      </c>
      <c r="L34" s="47">
        <f t="shared" si="15"/>
        <v>0</v>
      </c>
      <c r="M34" s="47">
        <f t="shared" si="15"/>
        <v>0</v>
      </c>
      <c r="N34" s="47">
        <f t="shared" si="15"/>
        <v>0</v>
      </c>
      <c r="O34" s="47">
        <f t="shared" si="15"/>
        <v>8166.666666666666</v>
      </c>
      <c r="P34" s="47">
        <f t="shared" si="15"/>
        <v>8166.666666666686</v>
      </c>
      <c r="Q34" s="47">
        <f t="shared" si="15"/>
        <v>4902.497702142858</v>
      </c>
      <c r="R34" s="47">
        <f t="shared" si="15"/>
        <v>-4373.696048427192</v>
      </c>
      <c r="S34" s="47">
        <f t="shared" si="15"/>
        <v>-3465.5771504948243</v>
      </c>
      <c r="T34" s="47">
        <f t="shared" si="15"/>
        <v>-3434.158252562458</v>
      </c>
      <c r="U34" s="47">
        <f t="shared" si="15"/>
        <v>-1649.3393546300886</v>
      </c>
      <c r="V34" s="47">
        <f t="shared" si="15"/>
        <v>2765.5795433022768</v>
      </c>
      <c r="W34" s="47">
        <f t="shared" si="15"/>
        <v>5427.098441234647</v>
      </c>
      <c r="X34" s="47">
        <f t="shared" si="15"/>
        <v>5221.055959927261</v>
      </c>
      <c r="Y34" s="47">
        <f t="shared" si="15"/>
        <v>2823.798126270255</v>
      </c>
      <c r="Z34" s="47">
        <f t="shared" si="15"/>
        <v>1408.6403874732905</v>
      </c>
      <c r="AA34" s="47">
        <f t="shared" si="15"/>
        <v>-1446.810208466528</v>
      </c>
      <c r="AB34" s="47">
        <f t="shared" si="15"/>
        <v>-701.5286615492068</v>
      </c>
      <c r="AC34" s="47">
        <f>AC18+AC24+AC33</f>
        <v>7477.560484220274</v>
      </c>
      <c r="AD34" s="47">
        <f t="shared" si="15"/>
        <v>2031.810178103522</v>
      </c>
      <c r="AE34" s="47">
        <f t="shared" si="15"/>
        <v>6117.574427055071</v>
      </c>
      <c r="AF34" s="47">
        <f t="shared" si="15"/>
        <v>2847.610818863752</v>
      </c>
      <c r="AG34" s="47">
        <f>AG18+AG24+AG33</f>
        <v>4735.386844601031</v>
      </c>
      <c r="AH34" s="47">
        <f>AH18+AH24+AH33</f>
        <v>15081.793284447976</v>
      </c>
    </row>
    <row r="35" spans="1:46" s="21" customFormat="1" ht="12.75">
      <c r="A35" s="49" t="s">
        <v>60</v>
      </c>
      <c r="B35" s="27">
        <f>B7+B18+B24+B33</f>
        <v>46458.40270395824</v>
      </c>
      <c r="C35" s="50"/>
      <c r="D35" s="51">
        <f aca="true" t="shared" si="16" ref="D35:O35">D7+D18+D24+D33</f>
        <v>0</v>
      </c>
      <c r="E35" s="51">
        <f t="shared" si="16"/>
        <v>0</v>
      </c>
      <c r="F35" s="51">
        <f t="shared" si="16"/>
        <v>0</v>
      </c>
      <c r="G35" s="51">
        <f t="shared" si="16"/>
        <v>0</v>
      </c>
      <c r="H35" s="51">
        <f t="shared" si="16"/>
        <v>0</v>
      </c>
      <c r="I35" s="51">
        <f t="shared" si="16"/>
        <v>0</v>
      </c>
      <c r="J35" s="51">
        <f t="shared" si="16"/>
        <v>0</v>
      </c>
      <c r="K35" s="51">
        <f t="shared" si="16"/>
        <v>0</v>
      </c>
      <c r="L35" s="51">
        <f t="shared" si="16"/>
        <v>0</v>
      </c>
      <c r="M35" s="51">
        <f t="shared" si="16"/>
        <v>0</v>
      </c>
      <c r="N35" s="51">
        <f t="shared" si="16"/>
        <v>0</v>
      </c>
      <c r="O35" s="51">
        <f t="shared" si="16"/>
        <v>8166.666666666666</v>
      </c>
      <c r="P35" s="52">
        <f>O35</f>
        <v>8166.666666666666</v>
      </c>
      <c r="Q35" s="51">
        <f>P35+Q18+Q24+Q33</f>
        <v>13069.164368809525</v>
      </c>
      <c r="R35" s="51">
        <f aca="true" t="shared" si="17" ref="R35:AB35">Q35+R18+R24+R33</f>
        <v>8695.468320382333</v>
      </c>
      <c r="S35" s="51">
        <f t="shared" si="17"/>
        <v>5229.891169887508</v>
      </c>
      <c r="T35" s="51">
        <f t="shared" si="17"/>
        <v>1795.73291732505</v>
      </c>
      <c r="U35" s="51">
        <f t="shared" si="17"/>
        <v>146.39356269496147</v>
      </c>
      <c r="V35" s="51">
        <f t="shared" si="17"/>
        <v>2911.9731059972382</v>
      </c>
      <c r="W35" s="51">
        <f t="shared" si="17"/>
        <v>8339.071547231884</v>
      </c>
      <c r="X35" s="51">
        <f t="shared" si="17"/>
        <v>13560.127507159148</v>
      </c>
      <c r="Y35" s="51">
        <f t="shared" si="17"/>
        <v>16383.925633429404</v>
      </c>
      <c r="Z35" s="51">
        <f t="shared" si="17"/>
        <v>17792.566020902694</v>
      </c>
      <c r="AA35" s="51">
        <f t="shared" si="17"/>
        <v>16345.755812436168</v>
      </c>
      <c r="AB35" s="51">
        <f t="shared" si="17"/>
        <v>15644.227150886963</v>
      </c>
      <c r="AC35" s="51">
        <f>AB35</f>
        <v>15644.227150886963</v>
      </c>
      <c r="AD35" s="51">
        <f>AC35+AD18+AD24+AD33</f>
        <v>17676.03732899049</v>
      </c>
      <c r="AE35" s="51">
        <f>AD35+AE18+AE24+AE33</f>
        <v>23793.61175604556</v>
      </c>
      <c r="AF35" s="51">
        <f>AE35+AF18+AF24+AF33</f>
        <v>26641.222574909312</v>
      </c>
      <c r="AG35" s="51">
        <f>AF35+AG18+AG24+AG33</f>
        <v>31376.609419510343</v>
      </c>
      <c r="AH35" s="51">
        <f>AG35+AH18+AH24+AH33</f>
        <v>46458.402703958316</v>
      </c>
      <c r="AI35" s="7">
        <v>2012</v>
      </c>
      <c r="AJ35" s="7">
        <f aca="true" t="shared" si="18" ref="AJ35:AM36">AI35+1</f>
        <v>2013</v>
      </c>
      <c r="AK35" s="7">
        <f t="shared" si="18"/>
        <v>2014</v>
      </c>
      <c r="AL35" s="7">
        <f t="shared" si="18"/>
        <v>2015</v>
      </c>
      <c r="AM35" s="7">
        <f t="shared" si="18"/>
        <v>2016</v>
      </c>
      <c r="AN35" s="7">
        <f aca="true" t="shared" si="19" ref="AN35:AT36">AM35+1</f>
        <v>2017</v>
      </c>
      <c r="AO35" s="7">
        <f t="shared" si="19"/>
        <v>2018</v>
      </c>
      <c r="AP35" s="7">
        <f t="shared" si="19"/>
        <v>2019</v>
      </c>
      <c r="AQ35" s="7">
        <f t="shared" si="19"/>
        <v>2020</v>
      </c>
      <c r="AR35" s="7">
        <f t="shared" si="19"/>
        <v>2021</v>
      </c>
      <c r="AS35" s="7">
        <f t="shared" si="19"/>
        <v>2022</v>
      </c>
      <c r="AT35" s="7">
        <f t="shared" si="19"/>
        <v>2023</v>
      </c>
    </row>
    <row r="36" spans="1:46" ht="12.75">
      <c r="A36" s="53"/>
      <c r="B36" s="54">
        <f>AH35</f>
        <v>46458.402703958316</v>
      </c>
      <c r="C36" s="55"/>
      <c r="D36" s="56">
        <f aca="true" t="shared" si="20" ref="D36:AH36">D7+D34-D35</f>
        <v>0</v>
      </c>
      <c r="E36" s="56">
        <f t="shared" si="20"/>
        <v>0</v>
      </c>
      <c r="F36" s="56">
        <f t="shared" si="20"/>
        <v>0</v>
      </c>
      <c r="G36" s="56">
        <f t="shared" si="20"/>
        <v>0</v>
      </c>
      <c r="H36" s="56">
        <f t="shared" si="20"/>
        <v>0</v>
      </c>
      <c r="I36" s="56">
        <f t="shared" si="20"/>
        <v>0</v>
      </c>
      <c r="J36" s="56">
        <f t="shared" si="20"/>
        <v>0</v>
      </c>
      <c r="K36" s="56">
        <f t="shared" si="20"/>
        <v>0</v>
      </c>
      <c r="L36" s="56">
        <f t="shared" si="20"/>
        <v>0</v>
      </c>
      <c r="M36" s="56">
        <f t="shared" si="20"/>
        <v>0</v>
      </c>
      <c r="N36" s="56">
        <f t="shared" si="20"/>
        <v>0</v>
      </c>
      <c r="O36" s="56">
        <f t="shared" si="20"/>
        <v>0</v>
      </c>
      <c r="P36" s="56">
        <f t="shared" si="20"/>
        <v>2.000888343900442E-11</v>
      </c>
      <c r="Q36" s="56">
        <f t="shared" si="20"/>
        <v>0</v>
      </c>
      <c r="R36" s="56">
        <f t="shared" si="20"/>
        <v>0</v>
      </c>
      <c r="S36" s="56">
        <f t="shared" si="20"/>
        <v>0</v>
      </c>
      <c r="T36" s="56">
        <f t="shared" si="20"/>
        <v>0</v>
      </c>
      <c r="U36" s="56">
        <f t="shared" si="20"/>
        <v>0</v>
      </c>
      <c r="V36" s="56">
        <f t="shared" si="20"/>
        <v>0</v>
      </c>
      <c r="W36" s="56">
        <f t="shared" si="20"/>
        <v>0</v>
      </c>
      <c r="X36" s="56">
        <f t="shared" si="20"/>
        <v>0</v>
      </c>
      <c r="Y36" s="56">
        <f t="shared" si="20"/>
        <v>0</v>
      </c>
      <c r="Z36" s="56">
        <f t="shared" si="20"/>
        <v>0</v>
      </c>
      <c r="AA36" s="56">
        <f t="shared" si="20"/>
        <v>0</v>
      </c>
      <c r="AB36" s="56">
        <f t="shared" si="20"/>
        <v>0</v>
      </c>
      <c r="AC36" s="56">
        <f t="shared" si="20"/>
        <v>-2.3646862246096134E-11</v>
      </c>
      <c r="AD36" s="56">
        <f t="shared" si="20"/>
        <v>0</v>
      </c>
      <c r="AE36" s="56">
        <f t="shared" si="20"/>
        <v>0</v>
      </c>
      <c r="AF36" s="56">
        <f t="shared" si="20"/>
        <v>0</v>
      </c>
      <c r="AG36" s="56">
        <f t="shared" si="20"/>
        <v>0</v>
      </c>
      <c r="AH36" s="56">
        <f t="shared" si="20"/>
        <v>0</v>
      </c>
      <c r="AI36" s="63">
        <v>0</v>
      </c>
      <c r="AJ36" s="63">
        <f t="shared" si="18"/>
        <v>1</v>
      </c>
      <c r="AK36" s="63">
        <f t="shared" si="18"/>
        <v>2</v>
      </c>
      <c r="AL36" s="63">
        <f t="shared" si="18"/>
        <v>3</v>
      </c>
      <c r="AM36" s="63">
        <f t="shared" si="18"/>
        <v>4</v>
      </c>
      <c r="AN36" s="63">
        <f t="shared" si="19"/>
        <v>5</v>
      </c>
      <c r="AO36" s="63">
        <f t="shared" si="19"/>
        <v>6</v>
      </c>
      <c r="AP36" s="63">
        <f t="shared" si="19"/>
        <v>7</v>
      </c>
      <c r="AQ36" s="63">
        <f t="shared" si="19"/>
        <v>8</v>
      </c>
      <c r="AR36" s="63">
        <f t="shared" si="19"/>
        <v>9</v>
      </c>
      <c r="AS36" s="63">
        <f t="shared" si="19"/>
        <v>10</v>
      </c>
      <c r="AT36" s="63">
        <f t="shared" si="19"/>
        <v>11</v>
      </c>
    </row>
    <row r="37" spans="1:46" ht="12.75">
      <c r="A37" s="53" t="s">
        <v>68</v>
      </c>
      <c r="B37" s="64">
        <f>B35-B36</f>
        <v>-7.275957614183426E-11</v>
      </c>
      <c r="C37" s="55"/>
      <c r="Q37" s="58"/>
      <c r="AI37" s="58">
        <f>P34</f>
        <v>8166.666666666686</v>
      </c>
      <c r="AJ37" s="58">
        <f aca="true" t="shared" si="21" ref="AJ37:AO37">AC34</f>
        <v>7477.560484220274</v>
      </c>
      <c r="AK37" s="58">
        <f t="shared" si="21"/>
        <v>2031.810178103522</v>
      </c>
      <c r="AL37" s="58">
        <f t="shared" si="21"/>
        <v>6117.574427055071</v>
      </c>
      <c r="AM37" s="58">
        <f t="shared" si="21"/>
        <v>2847.610818863752</v>
      </c>
      <c r="AN37" s="58">
        <f t="shared" si="21"/>
        <v>4735.386844601031</v>
      </c>
      <c r="AO37" s="58">
        <f t="shared" si="21"/>
        <v>15081.793284447976</v>
      </c>
      <c r="AP37" s="58">
        <f>AO38</f>
        <v>48228.73060309534</v>
      </c>
      <c r="AQ37" s="58">
        <f>AP37</f>
        <v>48228.73060309534</v>
      </c>
      <c r="AR37" s="58">
        <f>AQ37</f>
        <v>48228.73060309534</v>
      </c>
      <c r="AS37" s="58">
        <f>AR37</f>
        <v>48228.73060309534</v>
      </c>
      <c r="AT37" s="58">
        <f>AS37</f>
        <v>48228.73060309534</v>
      </c>
    </row>
    <row r="38" spans="1:46" ht="12.75">
      <c r="A38" s="53" t="s">
        <v>69</v>
      </c>
      <c r="B38" s="55"/>
      <c r="C38" s="55"/>
      <c r="AI38" s="58">
        <f>AI37+P32+P31+P15</f>
        <v>8166.666666666686</v>
      </c>
      <c r="AJ38" s="58">
        <f aca="true" t="shared" si="22" ref="AJ38:AO38">AJ37+AC32+AC31+AC15</f>
        <v>64157.252354210614</v>
      </c>
      <c r="AK38" s="58">
        <f t="shared" si="22"/>
        <v>59528.39339433542</v>
      </c>
      <c r="AL38" s="58">
        <f t="shared" si="22"/>
        <v>59089.83634102611</v>
      </c>
      <c r="AM38" s="58">
        <f t="shared" si="22"/>
        <v>51295.55143057392</v>
      </c>
      <c r="AN38" s="58">
        <f t="shared" si="22"/>
        <v>48659.00615405033</v>
      </c>
      <c r="AO38" s="58">
        <f t="shared" si="22"/>
        <v>48228.73060309534</v>
      </c>
      <c r="AP38" s="58">
        <f>AP37+AI32+AI31+AI15</f>
        <v>48228.73060309534</v>
      </c>
      <c r="AQ38" s="58">
        <f>AQ37+AJ32+AJ31+AJ15</f>
        <v>48228.73060309534</v>
      </c>
      <c r="AR38" s="58">
        <f>AR37+AK32+AK31+AK15</f>
        <v>48228.73060309534</v>
      </c>
      <c r="AS38" s="58">
        <f>AS37+AL32+AL31+AL15</f>
        <v>48228.73060309534</v>
      </c>
      <c r="AT38" s="58">
        <f>AT37+AM32+AM31+AM15</f>
        <v>48228.73060309534</v>
      </c>
    </row>
    <row r="39" spans="1:46" ht="12.75">
      <c r="A39" s="53" t="s">
        <v>70</v>
      </c>
      <c r="B39" s="55"/>
      <c r="C39" s="55"/>
      <c r="V39" s="58"/>
      <c r="AI39" s="58">
        <f>P27</f>
        <v>293352.58666666667</v>
      </c>
      <c r="AJ39" s="58">
        <f>AC27</f>
        <v>3500</v>
      </c>
      <c r="AK39" s="58"/>
      <c r="AL39" s="58"/>
      <c r="AM39" s="58"/>
      <c r="AN39" s="58"/>
      <c r="AO39" s="58"/>
      <c r="AP39" s="58"/>
      <c r="AQ39" s="58"/>
      <c r="AR39" s="58"/>
      <c r="AS39" s="58"/>
      <c r="AT39" s="58"/>
    </row>
    <row r="40" spans="1:46" ht="12.75">
      <c r="A40" s="65" t="s">
        <v>71</v>
      </c>
      <c r="B40" s="55"/>
      <c r="C40" s="55"/>
      <c r="AI40" s="66">
        <f aca="true" t="shared" si="23" ref="AI40:AO40">AI38-AI39</f>
        <v>-285185.92</v>
      </c>
      <c r="AJ40" s="66">
        <f t="shared" si="23"/>
        <v>60657.252354210614</v>
      </c>
      <c r="AK40" s="66">
        <f t="shared" si="23"/>
        <v>59528.39339433542</v>
      </c>
      <c r="AL40" s="66">
        <f t="shared" si="23"/>
        <v>59089.83634102611</v>
      </c>
      <c r="AM40" s="66">
        <f t="shared" si="23"/>
        <v>51295.55143057392</v>
      </c>
      <c r="AN40" s="66">
        <f t="shared" si="23"/>
        <v>48659.00615405033</v>
      </c>
      <c r="AO40" s="66">
        <f t="shared" si="23"/>
        <v>48228.73060309534</v>
      </c>
      <c r="AP40" s="66">
        <f>AP38-AP39</f>
        <v>48228.73060309534</v>
      </c>
      <c r="AQ40" s="66">
        <f>AQ38-AQ39</f>
        <v>48228.73060309534</v>
      </c>
      <c r="AR40" s="66">
        <f>AR38-AR39</f>
        <v>48228.73060309534</v>
      </c>
      <c r="AS40" s="66">
        <f>AS38-AS39</f>
        <v>48228.73060309534</v>
      </c>
      <c r="AT40" s="66">
        <f>AT38-AT39</f>
        <v>48228.73060309534</v>
      </c>
    </row>
    <row r="41" spans="1:46" ht="12.75">
      <c r="A41" s="67" t="s">
        <v>72</v>
      </c>
      <c r="B41" s="55"/>
      <c r="C41" s="55"/>
      <c r="AI41" s="68">
        <f>AI40/(1+Исх!$C$7)^'1-Ф3'!AI36</f>
        <v>-285185.92</v>
      </c>
      <c r="AJ41" s="68">
        <f>AJ40/(1+Исх!$C$7)^'1-Ф3'!AJ36</f>
        <v>53812.3246577454</v>
      </c>
      <c r="AK41" s="68">
        <f>AK40/(1+Исх!$C$7)^'1-Ф3'!AK36</f>
        <v>46851.35992267548</v>
      </c>
      <c r="AL41" s="68">
        <f>AL40/(1+Исх!$C$7)^'1-Ф3'!AL36</f>
        <v>41258.1591538637</v>
      </c>
      <c r="AM41" s="68">
        <f>AM40/(1+Исх!$C$7)^'1-Ф3'!AM36</f>
        <v>31774.284694933212</v>
      </c>
      <c r="AN41" s="68">
        <f>AN40/(1+Исх!$C$7)^'1-Ф3'!AN36</f>
        <v>26739.81103367012</v>
      </c>
      <c r="AO41" s="68">
        <f>AO40/(1+Исх!$C$7)^'1-Ф3'!AO36</f>
        <v>23512.561834183125</v>
      </c>
      <c r="AP41" s="68">
        <f>AP40/(1+Исх!$C$7)^'1-Ф3'!AP36</f>
        <v>20859.263515066643</v>
      </c>
      <c r="AQ41" s="68">
        <f>AQ40/(1+Исх!$C$7)^'1-Ф3'!AQ36</f>
        <v>18505.379271705682</v>
      </c>
      <c r="AR41" s="68">
        <f>AR40/(1+Исх!$C$7)^'1-Ф3'!AR36</f>
        <v>16417.121426282545</v>
      </c>
      <c r="AS41" s="68">
        <f>AS40/(1+Исх!$C$7)^'1-Ф3'!AS36</f>
        <v>14564.515104934833</v>
      </c>
      <c r="AT41" s="68">
        <f>AT40/(1+Исх!$C$7)^'1-Ф3'!AT36</f>
        <v>12920.967978118199</v>
      </c>
    </row>
    <row r="42" spans="1:46" ht="12.75">
      <c r="A42" s="65" t="s">
        <v>73</v>
      </c>
      <c r="B42" s="55"/>
      <c r="C42" s="55"/>
      <c r="AI42" s="66">
        <f>AI40</f>
        <v>-285185.92</v>
      </c>
      <c r="AJ42" s="66">
        <f aca="true" t="shared" si="24" ref="AJ42:AM43">AI42+AJ40</f>
        <v>-224528.66764578936</v>
      </c>
      <c r="AK42" s="66">
        <f t="shared" si="24"/>
        <v>-165000.27425145393</v>
      </c>
      <c r="AL42" s="66">
        <f t="shared" si="24"/>
        <v>-105910.43791042782</v>
      </c>
      <c r="AM42" s="66">
        <f t="shared" si="24"/>
        <v>-54614.8864798539</v>
      </c>
      <c r="AN42" s="66">
        <f aca="true" t="shared" si="25" ref="AN42:AT43">AM42+AN40</f>
        <v>-5955.88032580357</v>
      </c>
      <c r="AO42" s="66">
        <f t="shared" si="25"/>
        <v>42272.85027729177</v>
      </c>
      <c r="AP42" s="66">
        <f t="shared" si="25"/>
        <v>90501.5808803871</v>
      </c>
      <c r="AQ42" s="66">
        <f t="shared" si="25"/>
        <v>138730.31148348245</v>
      </c>
      <c r="AR42" s="66">
        <f t="shared" si="25"/>
        <v>186959.0420865778</v>
      </c>
      <c r="AS42" s="66">
        <f t="shared" si="25"/>
        <v>235187.77268967315</v>
      </c>
      <c r="AT42" s="66">
        <f t="shared" si="25"/>
        <v>283416.5032927685</v>
      </c>
    </row>
    <row r="43" spans="1:46" ht="12.75">
      <c r="A43" s="67" t="s">
        <v>74</v>
      </c>
      <c r="B43" s="55"/>
      <c r="C43" s="55"/>
      <c r="AI43" s="68">
        <f>AI41</f>
        <v>-285185.92</v>
      </c>
      <c r="AJ43" s="68">
        <f t="shared" si="24"/>
        <v>-231373.5953422546</v>
      </c>
      <c r="AK43" s="68">
        <f t="shared" si="24"/>
        <v>-184522.2354195791</v>
      </c>
      <c r="AL43" s="68">
        <f t="shared" si="24"/>
        <v>-143264.0762657154</v>
      </c>
      <c r="AM43" s="68">
        <f t="shared" si="24"/>
        <v>-111489.7915707822</v>
      </c>
      <c r="AN43" s="68">
        <f t="shared" si="25"/>
        <v>-84749.98053711207</v>
      </c>
      <c r="AO43" s="68">
        <f t="shared" si="25"/>
        <v>-61237.418702928946</v>
      </c>
      <c r="AP43" s="68">
        <f t="shared" si="25"/>
        <v>-40378.1551878623</v>
      </c>
      <c r="AQ43" s="68">
        <f t="shared" si="25"/>
        <v>-21872.775916156617</v>
      </c>
      <c r="AR43" s="68">
        <f t="shared" si="25"/>
        <v>-5455.654489874072</v>
      </c>
      <c r="AS43" s="68">
        <f t="shared" si="25"/>
        <v>9108.860615060761</v>
      </c>
      <c r="AT43" s="68">
        <f t="shared" si="25"/>
        <v>22029.828593178958</v>
      </c>
    </row>
    <row r="44" spans="1:46" ht="12.75">
      <c r="A44" s="53" t="s">
        <v>75</v>
      </c>
      <c r="B44" s="55"/>
      <c r="C44" s="55"/>
      <c r="AI44" s="58">
        <f>NPV(Исх!$C$7,'1-Ф3'!$AI38:AI38)</f>
        <v>7245.091081145038</v>
      </c>
      <c r="AJ44" s="58">
        <f>NPV(Исх!$C$7,'1-Ф3'!$AI38:AJ38)</f>
        <v>57739.55851595859</v>
      </c>
      <c r="AK44" s="58">
        <f>NPV(Исх!$C$7,'1-Ф3'!$AI38:AK38)</f>
        <v>99303.9303423208</v>
      </c>
      <c r="AL44" s="58">
        <f>NPV(Исх!$C$7,'1-Ф3'!$AI38:AL38)</f>
        <v>135906.27167825383</v>
      </c>
      <c r="AM44" s="58">
        <f>NPV(Исх!$C$7,'1-Ф3'!$AI38:AM38)</f>
        <v>164094.95575821586</v>
      </c>
      <c r="AN44" s="58">
        <f>NPV(Исх!$C$7,'1-Ф3'!$AI38:AN38)</f>
        <v>187817.28634167055</v>
      </c>
      <c r="AO44" s="58">
        <f>NPV(Исх!$C$7,'1-Ф3'!$AI38:AO38)</f>
        <v>208676.5498567372</v>
      </c>
      <c r="AP44" s="58">
        <f>NPV(Исх!$C$7,'1-Ф3'!$AI38:AP38)</f>
        <v>227181.92912844286</v>
      </c>
      <c r="AQ44" s="58">
        <f>NPV(Исх!$C$7,'1-Ф3'!$AI38:AQ38)</f>
        <v>243599.0505547254</v>
      </c>
      <c r="AR44" s="58">
        <f>NPV(Исх!$C$7,'1-Ф3'!$AI38:AR38)</f>
        <v>258163.56565966026</v>
      </c>
      <c r="AS44" s="58">
        <f>NPV(Исх!$C$7,'1-Ф3'!$AI38:AS38)</f>
        <v>271084.5336377784</v>
      </c>
      <c r="AT44" s="58">
        <f>NPV(Исх!$C$7,'1-Ф3'!$AI38:AT38)</f>
        <v>282547.42219182226</v>
      </c>
    </row>
    <row r="45" spans="1:46" ht="12.75">
      <c r="A45" s="53" t="s">
        <v>76</v>
      </c>
      <c r="B45" s="55"/>
      <c r="C45" s="55"/>
      <c r="AI45" s="58">
        <f>NPV(Исх!$C$7,'1-Ф3'!$AI39:AI39)</f>
        <v>260248.92358646795</v>
      </c>
      <c r="AJ45" s="58">
        <f>NPV(Исх!$C$7,'1-Ф3'!$AI39:AJ39)</f>
        <v>263003.5714171781</v>
      </c>
      <c r="AK45" s="58">
        <f>NPV(Исх!$C$7,'1-Ф3'!$AI39:AK39)</f>
        <v>263003.5714171781</v>
      </c>
      <c r="AL45" s="58">
        <f>NPV(Исх!$C$7,'1-Ф3'!$AI39:AL39)</f>
        <v>263003.5714171781</v>
      </c>
      <c r="AM45" s="58">
        <f>NPV(Исх!$C$7,'1-Ф3'!$AI39:AM39)</f>
        <v>263003.5714171781</v>
      </c>
      <c r="AN45" s="58">
        <f>NPV(Исх!$C$7,'1-Ф3'!$AI39:AN39)</f>
        <v>263003.5714171781</v>
      </c>
      <c r="AO45" s="58">
        <f>NPV(Исх!$C$7,'1-Ф3'!$AI39:AO39)</f>
        <v>263003.5714171781</v>
      </c>
      <c r="AP45" s="58">
        <f>NPV(Исх!$C$7,'1-Ф3'!$AI39:AP39)</f>
        <v>263003.5714171781</v>
      </c>
      <c r="AQ45" s="58">
        <f>NPV(Исх!$C$7,'1-Ф3'!$AI39:AQ39)</f>
        <v>263003.5714171781</v>
      </c>
      <c r="AR45" s="58">
        <f>NPV(Исх!$C$7,'1-Ф3'!$AI39:AR39)</f>
        <v>263003.5714171781</v>
      </c>
      <c r="AS45" s="58">
        <f>NPV(Исх!$C$7,'1-Ф3'!$AI39:AS39)</f>
        <v>263003.5714171781</v>
      </c>
      <c r="AT45" s="58">
        <f>NPV(Исх!$C$7,'1-Ф3'!$AI39:AT39)</f>
        <v>263003.5714171781</v>
      </c>
    </row>
    <row r="46" spans="1:46" ht="12.75">
      <c r="A46" s="53" t="s">
        <v>77</v>
      </c>
      <c r="B46" s="55"/>
      <c r="C46" s="55"/>
      <c r="AI46" s="58">
        <f aca="true" t="shared" si="26" ref="AI46:AO46">AI44-AI45</f>
        <v>-253003.8325053229</v>
      </c>
      <c r="AJ46" s="58">
        <f t="shared" si="26"/>
        <v>-205264.01290121948</v>
      </c>
      <c r="AK46" s="58">
        <f t="shared" si="26"/>
        <v>-163699.64107485727</v>
      </c>
      <c r="AL46" s="58">
        <f t="shared" si="26"/>
        <v>-127097.29973892425</v>
      </c>
      <c r="AM46" s="58">
        <f t="shared" si="26"/>
        <v>-98908.61565896223</v>
      </c>
      <c r="AN46" s="58">
        <f t="shared" si="26"/>
        <v>-75186.28507550753</v>
      </c>
      <c r="AO46" s="58">
        <f t="shared" si="26"/>
        <v>-54327.02156044089</v>
      </c>
      <c r="AP46" s="58">
        <f>AP44-AP45</f>
        <v>-35821.642288735224</v>
      </c>
      <c r="AQ46" s="58">
        <f>AQ44-AQ45</f>
        <v>-19404.520862452686</v>
      </c>
      <c r="AR46" s="58">
        <f>AR44-AR45</f>
        <v>-4840.005757517822</v>
      </c>
      <c r="AS46" s="58">
        <f>AS44-AS45</f>
        <v>8080.9622206003405</v>
      </c>
      <c r="AT46" s="58">
        <f>AT44-AT45</f>
        <v>19543.850774644176</v>
      </c>
    </row>
    <row r="47" spans="1:46" ht="12.75">
      <c r="A47" s="53" t="s">
        <v>78</v>
      </c>
      <c r="B47" s="55"/>
      <c r="C47" s="55"/>
      <c r="AI47" s="69">
        <f aca="true" t="shared" si="27" ref="AI47:AO47">AI44/AI45</f>
        <v>0.027839081834810545</v>
      </c>
      <c r="AJ47" s="69">
        <f t="shared" si="27"/>
        <v>0.21953906635120063</v>
      </c>
      <c r="AK47" s="69">
        <f t="shared" si="27"/>
        <v>0.3775763568807369</v>
      </c>
      <c r="AL47" s="69">
        <f t="shared" si="27"/>
        <v>0.516746867527051</v>
      </c>
      <c r="AM47" s="69">
        <f t="shared" si="27"/>
        <v>0.6239267203635319</v>
      </c>
      <c r="AN47" s="69">
        <f t="shared" si="27"/>
        <v>0.7141244711226886</v>
      </c>
      <c r="AO47" s="69">
        <f t="shared" si="27"/>
        <v>0.7934361831373499</v>
      </c>
      <c r="AP47" s="69">
        <f>AP44/AP45</f>
        <v>0.8637978864860558</v>
      </c>
      <c r="AQ47" s="69">
        <f>AQ44/AQ45</f>
        <v>0.9262195537577963</v>
      </c>
      <c r="AR47" s="69">
        <f>AR44/AR45</f>
        <v>0.9815971861848196</v>
      </c>
      <c r="AS47" s="69">
        <f>AS44/AS45</f>
        <v>1.0307256748532219</v>
      </c>
      <c r="AT47" s="69">
        <f>AT44/AT45</f>
        <v>1.0743102105774966</v>
      </c>
    </row>
    <row r="48" spans="1:46" ht="12.75">
      <c r="A48" s="53" t="s">
        <v>79</v>
      </c>
      <c r="B48" s="55"/>
      <c r="C48" s="55"/>
      <c r="AG48" s="70" t="str">
        <f>IF(ISERROR(IRR($AI40:AI$40))," ",IF(IRR($AI40:AI$40)&lt;0," ",IRR($AI40:AI$40)))</f>
        <v> </v>
      </c>
      <c r="AH48" s="70" t="str">
        <f>IF(ISERROR(IRR($AI40:AJ$40))," ",IF(IRR($AI40:AJ$40)&lt;0," ",IRR($AI40:AJ$40)))</f>
        <v> </v>
      </c>
      <c r="AI48" s="70" t="str">
        <f>IF(ISERROR(IRR($AI40:AI$40))," ",IF(IRR($AI40:AI$40)&lt;0," ",IRR($AI40:AI$40)))</f>
        <v> </v>
      </c>
      <c r="AJ48" s="70" t="str">
        <f>IF(ISERROR(IRR($AI40:AJ$40))," ",IF(IRR($AI40:AJ$40)&lt;0," ",IRR($AI40:AJ$40)))</f>
        <v> </v>
      </c>
      <c r="AK48" s="70" t="str">
        <f>IF(ISERROR(IRR($AI40:AK$40))," ",IF(IRR($AI40:AK$40)&lt;0," ",IRR($AI40:AK$40)))</f>
        <v> </v>
      </c>
      <c r="AL48" s="70" t="str">
        <f>IF(ISERROR(IRR($AI40:AL$40))," ",IF(IRR($AI40:AL$40)&lt;0," ",IRR($AI40:AL$40)))</f>
        <v> </v>
      </c>
      <c r="AM48" s="70" t="str">
        <f>IF(ISERROR(IRR($AI40:AM$40))," ",IF(IRR($AI40:AM$40)&lt;0," ",IRR($AI40:AM$40)))</f>
        <v> </v>
      </c>
      <c r="AN48" s="70" t="str">
        <f>IF(ISERROR(IRR($AI40:AN$40))," ",IF(IRR($AI40:AN$40)&lt;0," ",IRR($AI40:AN$40)))</f>
        <v> </v>
      </c>
      <c r="AO48" s="70">
        <f>IF(ISERROR(IRR($AI40:AO$40))," ",IF(IRR($AI40:AO$40)&lt;0," ",IRR($AI40:AO$40)))</f>
        <v>0.04300097609737915</v>
      </c>
      <c r="AP48" s="70">
        <f>IF(ISERROR(IRR($AI40:AP$40))," ",IF(IRR($AI40:AP$40)&lt;0," ",IRR($AI40:AP$40)))</f>
        <v>0.07813631015410717</v>
      </c>
      <c r="AQ48" s="70">
        <f>IF(ISERROR(IRR($AI40:AQ$40))," ",IF(IRR($AI40:AQ$40)&lt;0," ",IRR($AI40:AQ$40)))</f>
        <v>0.10331672271733972</v>
      </c>
      <c r="AR48" s="70">
        <f>IF(ISERROR(IRR($AI40:AR$40))," ",IF(IRR($AI40:AR$40)&lt;0," ",IRR($AI40:AR$40)))</f>
        <v>0.12177112995232349</v>
      </c>
      <c r="AS48" s="70">
        <f>IF(ISERROR(IRR($AI40:AS$40))," ",IF(IRR($AI40:AS$40)&lt;0," ",IRR($AI40:AS$40)))</f>
        <v>0.13555854800685121</v>
      </c>
      <c r="AT48" s="70">
        <f>IF(ISERROR(IRR($AI40:AT$40))," ",IF(IRR($AI40:AT$40)&lt;0," ",IRR($AI40:AT$40)))</f>
        <v>0.14602896709501303</v>
      </c>
    </row>
    <row r="49" spans="1:3" ht="12.75">
      <c r="A49" s="71" t="s">
        <v>39</v>
      </c>
      <c r="B49" s="59">
        <f>AN36-AN42/AO40</f>
        <v>5.123492371690606</v>
      </c>
      <c r="C49" s="55"/>
    </row>
    <row r="50" spans="1:3" ht="12.75">
      <c r="A50" s="71" t="s">
        <v>32</v>
      </c>
      <c r="B50" s="59">
        <f>AR36-AR43/AS41</f>
        <v>9.374585384447544</v>
      </c>
      <c r="C50" s="55"/>
    </row>
    <row r="51" spans="1:3" ht="12.75">
      <c r="A51" s="53"/>
      <c r="B51" s="55"/>
      <c r="C51" s="55"/>
    </row>
    <row r="52" spans="1:3" ht="12.75">
      <c r="A52" s="53"/>
      <c r="B52" s="55"/>
      <c r="C52" s="55"/>
    </row>
    <row r="53" spans="1:3" ht="12.75">
      <c r="A53" s="53"/>
      <c r="B53" s="55"/>
      <c r="C53" s="55"/>
    </row>
    <row r="54" spans="1:3" ht="12.75">
      <c r="A54" s="53"/>
      <c r="B54" s="55"/>
      <c r="C54" s="55"/>
    </row>
    <row r="55" spans="1:3" ht="12.75">
      <c r="A55" s="53"/>
      <c r="B55" s="55"/>
      <c r="C55" s="55"/>
    </row>
    <row r="56" spans="1:3" ht="12.75">
      <c r="A56" s="53"/>
      <c r="B56" s="55"/>
      <c r="C56" s="55"/>
    </row>
    <row r="57" spans="1:3" ht="12.75">
      <c r="A57" s="53"/>
      <c r="B57" s="55"/>
      <c r="C57" s="55"/>
    </row>
    <row r="58" spans="1:3" ht="12.75">
      <c r="A58" s="53"/>
      <c r="B58" s="55"/>
      <c r="C58" s="55"/>
    </row>
    <row r="59" spans="1:3" ht="12.75">
      <c r="A59" s="53"/>
      <c r="B59" s="55"/>
      <c r="C59" s="55"/>
    </row>
    <row r="60" spans="1:3" ht="12.75">
      <c r="A60" s="53"/>
      <c r="B60" s="55"/>
      <c r="C60" s="55"/>
    </row>
    <row r="61" spans="1:3" ht="12.75">
      <c r="A61" s="53"/>
      <c r="B61" s="55"/>
      <c r="C61" s="55"/>
    </row>
    <row r="62" spans="1:3" ht="12.75">
      <c r="A62" s="53"/>
      <c r="B62" s="55"/>
      <c r="C62" s="55"/>
    </row>
    <row r="63" spans="1:3" ht="12.75">
      <c r="A63" s="53"/>
      <c r="B63" s="55"/>
      <c r="C63" s="55"/>
    </row>
    <row r="64" spans="1:3" ht="12.75">
      <c r="A64" s="53"/>
      <c r="B64" s="55"/>
      <c r="C64" s="55"/>
    </row>
    <row r="65" spans="1:3" ht="12.75">
      <c r="A65" s="53"/>
      <c r="B65" s="55"/>
      <c r="C65" s="55"/>
    </row>
    <row r="66" spans="1:3" ht="12.75">
      <c r="A66" s="53"/>
      <c r="B66" s="55"/>
      <c r="C66" s="55"/>
    </row>
    <row r="67" spans="1:3" ht="12.75">
      <c r="A67" s="53"/>
      <c r="B67" s="55"/>
      <c r="C67" s="55"/>
    </row>
    <row r="68" spans="1:3" ht="12.75">
      <c r="A68" s="53"/>
      <c r="B68" s="55"/>
      <c r="C68" s="55"/>
    </row>
    <row r="69" spans="1:3" ht="12.75">
      <c r="A69" s="53"/>
      <c r="B69" s="55"/>
      <c r="C69" s="55"/>
    </row>
    <row r="70" spans="1:3" ht="12.75">
      <c r="A70" s="53"/>
      <c r="B70" s="55"/>
      <c r="C70" s="55"/>
    </row>
    <row r="71" spans="1:3" ht="12.75">
      <c r="A71" s="53"/>
      <c r="B71" s="55"/>
      <c r="C71" s="55"/>
    </row>
    <row r="72" spans="1:3" ht="12.75">
      <c r="A72" s="53"/>
      <c r="B72" s="55"/>
      <c r="C72" s="55"/>
    </row>
    <row r="73" spans="1:3" ht="12.75">
      <c r="A73" s="53"/>
      <c r="B73" s="55"/>
      <c r="C73" s="55"/>
    </row>
    <row r="74" spans="1:3" ht="12.75">
      <c r="A74" s="53"/>
      <c r="B74" s="55"/>
      <c r="C74" s="55"/>
    </row>
    <row r="75" spans="1:3" ht="12.75">
      <c r="A75" s="53"/>
      <c r="B75" s="55"/>
      <c r="C75" s="55"/>
    </row>
    <row r="76" spans="1:3" ht="12.75">
      <c r="A76" s="53"/>
      <c r="B76" s="55"/>
      <c r="C76" s="55"/>
    </row>
    <row r="77" spans="1:3" ht="12.75">
      <c r="A77" s="53"/>
      <c r="B77" s="55"/>
      <c r="C77" s="55"/>
    </row>
    <row r="78" spans="1:3" ht="12.75">
      <c r="A78" s="53"/>
      <c r="B78" s="55"/>
      <c r="C78" s="55"/>
    </row>
    <row r="79" spans="1:3" ht="12.75">
      <c r="A79" s="53"/>
      <c r="B79" s="55"/>
      <c r="C79" s="55"/>
    </row>
    <row r="80" spans="1:3" ht="12.75">
      <c r="A80" s="53"/>
      <c r="B80" s="55"/>
      <c r="C80" s="55"/>
    </row>
    <row r="81" spans="1:3" ht="12.75">
      <c r="A81" s="53"/>
      <c r="B81" s="55"/>
      <c r="C81" s="55"/>
    </row>
    <row r="82" spans="1:3" ht="12.75">
      <c r="A82" s="53"/>
      <c r="B82" s="55"/>
      <c r="C82" s="55"/>
    </row>
    <row r="83" spans="1:3" ht="12.75">
      <c r="A83" s="53"/>
      <c r="B83" s="55"/>
      <c r="C83" s="55"/>
    </row>
    <row r="84" spans="1:3" ht="12.75">
      <c r="A84" s="53"/>
      <c r="B84" s="55"/>
      <c r="C84" s="55"/>
    </row>
    <row r="85" spans="1:3" ht="12.75">
      <c r="A85" s="53"/>
      <c r="B85" s="55"/>
      <c r="C85" s="55"/>
    </row>
    <row r="86" spans="1:3" ht="12.75">
      <c r="A86" s="53"/>
      <c r="B86" s="55"/>
      <c r="C86" s="55"/>
    </row>
    <row r="87" spans="1:3" ht="12.75">
      <c r="A87" s="53"/>
      <c r="B87" s="55"/>
      <c r="C87" s="55"/>
    </row>
    <row r="88" spans="1:3" ht="12.75">
      <c r="A88" s="53"/>
      <c r="B88" s="55"/>
      <c r="C88" s="55"/>
    </row>
    <row r="89" spans="1:3" ht="12.75">
      <c r="A89" s="53"/>
      <c r="B89" s="55"/>
      <c r="C89" s="55"/>
    </row>
    <row r="90" spans="1:3" ht="12.75">
      <c r="A90" s="53"/>
      <c r="B90" s="55"/>
      <c r="C90" s="55"/>
    </row>
    <row r="91" spans="1:3" ht="12.75">
      <c r="A91" s="53"/>
      <c r="B91" s="55"/>
      <c r="C91" s="55"/>
    </row>
    <row r="92" spans="1:3" ht="12.75">
      <c r="A92" s="53"/>
      <c r="B92" s="55"/>
      <c r="C92" s="55"/>
    </row>
    <row r="93" spans="1:3" ht="12.75">
      <c r="A93" s="53"/>
      <c r="B93" s="55"/>
      <c r="C93" s="55"/>
    </row>
    <row r="94" spans="1:3" ht="12.75">
      <c r="A94" s="53"/>
      <c r="B94" s="55"/>
      <c r="C94" s="55"/>
    </row>
    <row r="95" spans="1:3" ht="12.75">
      <c r="A95" s="53"/>
      <c r="B95" s="55"/>
      <c r="C95" s="55"/>
    </row>
    <row r="96" spans="1:3" ht="12.75">
      <c r="A96" s="53"/>
      <c r="B96" s="55"/>
      <c r="C96" s="55"/>
    </row>
    <row r="97" spans="1:3" ht="12.75">
      <c r="A97" s="53"/>
      <c r="B97" s="55"/>
      <c r="C97" s="55"/>
    </row>
    <row r="98" spans="1:3" ht="12.75">
      <c r="A98" s="53"/>
      <c r="B98" s="55"/>
      <c r="C98" s="55"/>
    </row>
    <row r="99" spans="1:3" ht="12.75">
      <c r="A99" s="53"/>
      <c r="B99" s="55"/>
      <c r="C99" s="55"/>
    </row>
    <row r="100" spans="1:3" ht="12.75">
      <c r="A100" s="53"/>
      <c r="B100" s="55"/>
      <c r="C100" s="55"/>
    </row>
    <row r="101" spans="1:3" ht="12.75">
      <c r="A101" s="53"/>
      <c r="B101" s="55"/>
      <c r="C101" s="55"/>
    </row>
    <row r="102" spans="1:3" ht="12.75">
      <c r="A102" s="53"/>
      <c r="B102" s="55"/>
      <c r="C102" s="55"/>
    </row>
    <row r="103" spans="1:3" ht="12.75">
      <c r="A103" s="53"/>
      <c r="B103" s="55"/>
      <c r="C103" s="55"/>
    </row>
    <row r="104" spans="1:3" ht="12.75">
      <c r="A104" s="53"/>
      <c r="B104" s="55"/>
      <c r="C104" s="55"/>
    </row>
    <row r="105" spans="1:3" ht="12.75">
      <c r="A105" s="53"/>
      <c r="B105" s="55"/>
      <c r="C105" s="55"/>
    </row>
    <row r="106" spans="1:3" ht="12.75">
      <c r="A106" s="53"/>
      <c r="B106" s="55"/>
      <c r="C106" s="55"/>
    </row>
    <row r="107" spans="1:3" ht="12.75">
      <c r="A107" s="53"/>
      <c r="B107" s="55"/>
      <c r="C107" s="55"/>
    </row>
    <row r="108" spans="1:3" ht="12.75">
      <c r="A108" s="53"/>
      <c r="B108" s="55"/>
      <c r="C108" s="55"/>
    </row>
    <row r="109" spans="1:3" ht="12.75">
      <c r="A109" s="53"/>
      <c r="B109" s="55"/>
      <c r="C109" s="55"/>
    </row>
    <row r="110" spans="1:3" ht="12.75">
      <c r="A110" s="53"/>
      <c r="B110" s="55"/>
      <c r="C110" s="55"/>
    </row>
    <row r="111" spans="1:3" ht="12.75">
      <c r="A111" s="53"/>
      <c r="B111" s="55"/>
      <c r="C111" s="55"/>
    </row>
    <row r="112" spans="1:3" ht="12.75">
      <c r="A112" s="53"/>
      <c r="B112" s="55"/>
      <c r="C112" s="55"/>
    </row>
    <row r="113" spans="1:3" ht="12.75">
      <c r="A113" s="53"/>
      <c r="B113" s="55"/>
      <c r="C113" s="55"/>
    </row>
    <row r="114" spans="1:3" ht="12.75">
      <c r="A114" s="53"/>
      <c r="B114" s="55"/>
      <c r="C114" s="55"/>
    </row>
    <row r="115" spans="1:3" ht="12.75">
      <c r="A115" s="53"/>
      <c r="B115" s="55"/>
      <c r="C115" s="55"/>
    </row>
    <row r="116" spans="1:3" ht="12.75">
      <c r="A116" s="53"/>
      <c r="B116" s="55"/>
      <c r="C116" s="55"/>
    </row>
    <row r="117" spans="1:3" ht="12.75">
      <c r="A117" s="53"/>
      <c r="B117" s="55"/>
      <c r="C117" s="55"/>
    </row>
    <row r="118" spans="1:3" ht="12.75">
      <c r="A118" s="53"/>
      <c r="B118" s="55"/>
      <c r="C118" s="55"/>
    </row>
    <row r="119" spans="1:3" ht="12.75">
      <c r="A119" s="53"/>
      <c r="B119" s="55"/>
      <c r="C119" s="55"/>
    </row>
    <row r="120" spans="1:3" ht="12.75">
      <c r="A120" s="53"/>
      <c r="B120" s="55"/>
      <c r="C120" s="55"/>
    </row>
    <row r="121" spans="1:3" ht="12.75">
      <c r="A121" s="53"/>
      <c r="B121" s="55"/>
      <c r="C121" s="55"/>
    </row>
    <row r="122" spans="1:3" ht="12.75">
      <c r="A122" s="53"/>
      <c r="B122" s="55"/>
      <c r="C122" s="55"/>
    </row>
    <row r="123" spans="1:3" ht="12.75">
      <c r="A123" s="53"/>
      <c r="B123" s="55"/>
      <c r="C123" s="55"/>
    </row>
    <row r="124" spans="1:3" ht="12.75">
      <c r="A124" s="53"/>
      <c r="B124" s="55"/>
      <c r="C124" s="55"/>
    </row>
    <row r="125" spans="1:3" ht="12.75">
      <c r="A125" s="53"/>
      <c r="B125" s="55"/>
      <c r="C125" s="55"/>
    </row>
    <row r="126" spans="1:3" ht="12.75">
      <c r="A126" s="53"/>
      <c r="B126" s="55"/>
      <c r="C126" s="55"/>
    </row>
    <row r="127" spans="1:3" ht="12.75">
      <c r="A127" s="53"/>
      <c r="B127" s="55"/>
      <c r="C127" s="55"/>
    </row>
    <row r="128" spans="1:3" ht="12.75">
      <c r="A128" s="53"/>
      <c r="B128" s="55"/>
      <c r="C128" s="55"/>
    </row>
    <row r="129" spans="1:3" ht="12.75">
      <c r="A129" s="53"/>
      <c r="B129" s="55"/>
      <c r="C129" s="55"/>
    </row>
    <row r="130" spans="1:3" ht="12.75">
      <c r="A130" s="53"/>
      <c r="B130" s="55"/>
      <c r="C130" s="55"/>
    </row>
    <row r="131" spans="1:3" ht="12.75">
      <c r="A131" s="53"/>
      <c r="B131" s="55"/>
      <c r="C131" s="55"/>
    </row>
    <row r="132" spans="1:3" ht="12.75">
      <c r="A132" s="53"/>
      <c r="B132" s="55"/>
      <c r="C132" s="55"/>
    </row>
    <row r="133" spans="1:3" ht="12.75">
      <c r="A133" s="53"/>
      <c r="B133" s="55"/>
      <c r="C133" s="55"/>
    </row>
    <row r="134" spans="1:3" ht="12.75">
      <c r="A134" s="53"/>
      <c r="B134" s="55"/>
      <c r="C134" s="55"/>
    </row>
    <row r="135" spans="1:3" ht="12.75">
      <c r="A135" s="53"/>
      <c r="B135" s="55"/>
      <c r="C135" s="55"/>
    </row>
    <row r="136" spans="1:3" ht="12.75">
      <c r="A136" s="53"/>
      <c r="B136" s="55"/>
      <c r="C136" s="55"/>
    </row>
    <row r="137" spans="1:3" ht="12.75">
      <c r="A137" s="53"/>
      <c r="B137" s="55"/>
      <c r="C137" s="55"/>
    </row>
    <row r="138" spans="1:3" ht="12.75">
      <c r="A138" s="53"/>
      <c r="B138" s="55"/>
      <c r="C138" s="55"/>
    </row>
    <row r="139" spans="1:3" ht="12.75">
      <c r="A139" s="53"/>
      <c r="B139" s="55"/>
      <c r="C139" s="55"/>
    </row>
    <row r="140" spans="1:3" ht="12.75">
      <c r="A140" s="53"/>
      <c r="B140" s="55"/>
      <c r="C140" s="55"/>
    </row>
    <row r="141" spans="1:3" ht="12.75">
      <c r="A141" s="53"/>
      <c r="B141" s="55"/>
      <c r="C141" s="55"/>
    </row>
    <row r="142" spans="1:3" ht="12.75">
      <c r="A142" s="53"/>
      <c r="B142" s="55"/>
      <c r="C142" s="55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71" bottom="0.35433070866141736" header="0.44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S43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G42" sqref="G42"/>
    </sheetView>
  </sheetViews>
  <sheetFormatPr defaultColWidth="8.875" defaultRowHeight="12.75" outlineLevelRow="1" outlineLevelCol="1"/>
  <cols>
    <col min="1" max="1" width="26.875" style="78" customWidth="1"/>
    <col min="2" max="2" width="10.00390625" style="78" customWidth="1"/>
    <col min="3" max="3" width="9.00390625" style="78" customWidth="1"/>
    <col min="4" max="4" width="10.00390625" style="78" customWidth="1"/>
    <col min="5" max="8" width="4.875" style="78" customWidth="1" outlineLevel="1"/>
    <col min="9" max="11" width="6.375" style="78" customWidth="1" outlineLevel="1"/>
    <col min="12" max="16" width="7.25390625" style="78" customWidth="1" outlineLevel="1"/>
    <col min="17" max="17" width="10.125" style="78" customWidth="1"/>
    <col min="18" max="18" width="8.875" style="78" customWidth="1"/>
    <col min="19" max="19" width="16.00390625" style="78" customWidth="1"/>
    <col min="20" max="20" width="12.875" style="78" bestFit="1" customWidth="1"/>
    <col min="21" max="16384" width="8.875" style="78" customWidth="1"/>
  </cols>
  <sheetData>
    <row r="1" ht="8.25" customHeight="1"/>
    <row r="2" spans="1:19" ht="12.75">
      <c r="A2" s="62" t="s">
        <v>66</v>
      </c>
      <c r="B2" s="177"/>
      <c r="Q2" s="150" t="s">
        <v>65</v>
      </c>
      <c r="R2" s="208"/>
      <c r="S2" s="175"/>
    </row>
    <row r="3" spans="2:19" ht="17.25" customHeight="1">
      <c r="B3" s="208"/>
      <c r="C3" s="208"/>
      <c r="E3" s="289">
        <v>2012</v>
      </c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1"/>
      <c r="Q3" s="93" t="s">
        <v>0</v>
      </c>
      <c r="R3" s="208"/>
      <c r="S3" s="209"/>
    </row>
    <row r="4" spans="1:17" ht="27" customHeight="1">
      <c r="A4" s="256" t="s">
        <v>233</v>
      </c>
      <c r="B4" s="210" t="s">
        <v>189</v>
      </c>
      <c r="C4" s="210" t="s">
        <v>190</v>
      </c>
      <c r="D4" s="237" t="s">
        <v>188</v>
      </c>
      <c r="E4" s="211">
        <v>1</v>
      </c>
      <c r="F4" s="211">
        <v>2</v>
      </c>
      <c r="G4" s="211">
        <v>3</v>
      </c>
      <c r="H4" s="211">
        <v>4</v>
      </c>
      <c r="I4" s="211">
        <v>5</v>
      </c>
      <c r="J4" s="211">
        <v>6</v>
      </c>
      <c r="K4" s="211">
        <v>7</v>
      </c>
      <c r="L4" s="211">
        <v>8</v>
      </c>
      <c r="M4" s="211">
        <v>9</v>
      </c>
      <c r="N4" s="211">
        <v>10</v>
      </c>
      <c r="O4" s="211">
        <v>11</v>
      </c>
      <c r="P4" s="211">
        <v>12</v>
      </c>
      <c r="Q4" s="95">
        <v>2012</v>
      </c>
    </row>
    <row r="5" spans="1:17" s="62" customFormat="1" ht="12.75" hidden="1">
      <c r="A5" s="212"/>
      <c r="B5" s="213"/>
      <c r="C5" s="213"/>
      <c r="D5" s="147">
        <f>SUM(D6)</f>
        <v>0</v>
      </c>
      <c r="E5" s="147">
        <f>SUM(E6)</f>
        <v>0</v>
      </c>
      <c r="F5" s="147">
        <f aca="true" t="shared" si="0" ref="F5:Q5">SUM(F6)</f>
        <v>0</v>
      </c>
      <c r="G5" s="147">
        <f t="shared" si="0"/>
        <v>0</v>
      </c>
      <c r="H5" s="147">
        <f t="shared" si="0"/>
        <v>0</v>
      </c>
      <c r="I5" s="147">
        <f t="shared" si="0"/>
        <v>0</v>
      </c>
      <c r="J5" s="147">
        <f t="shared" si="0"/>
        <v>0</v>
      </c>
      <c r="K5" s="147">
        <f t="shared" si="0"/>
        <v>0</v>
      </c>
      <c r="L5" s="147">
        <f t="shared" si="0"/>
        <v>0</v>
      </c>
      <c r="M5" s="147">
        <f t="shared" si="0"/>
        <v>0</v>
      </c>
      <c r="N5" s="147">
        <f t="shared" si="0"/>
        <v>0</v>
      </c>
      <c r="O5" s="147">
        <f t="shared" si="0"/>
        <v>0</v>
      </c>
      <c r="P5" s="147">
        <f t="shared" si="0"/>
        <v>0</v>
      </c>
      <c r="Q5" s="147">
        <f t="shared" si="0"/>
        <v>0</v>
      </c>
    </row>
    <row r="6" spans="1:17" ht="12.75" hidden="1" outlineLevel="1">
      <c r="A6" s="214"/>
      <c r="B6" s="238"/>
      <c r="C6" s="238"/>
      <c r="D6" s="157">
        <f>B6*C6</f>
        <v>0</v>
      </c>
      <c r="E6" s="157"/>
      <c r="F6" s="157"/>
      <c r="G6" s="157"/>
      <c r="H6" s="157"/>
      <c r="I6" s="157">
        <f>D6</f>
        <v>0</v>
      </c>
      <c r="J6" s="157"/>
      <c r="K6" s="157"/>
      <c r="L6" s="157"/>
      <c r="M6" s="157"/>
      <c r="N6" s="157"/>
      <c r="O6" s="157"/>
      <c r="P6" s="157"/>
      <c r="Q6" s="158">
        <f>SUM(E6:P6)</f>
        <v>0</v>
      </c>
    </row>
    <row r="7" spans="1:17" s="62" customFormat="1" ht="12.75" collapsed="1">
      <c r="A7" s="212" t="s">
        <v>230</v>
      </c>
      <c r="B7" s="213"/>
      <c r="C7" s="213"/>
      <c r="D7" s="147">
        <f>SUM(D8:D10)</f>
        <v>262350.72</v>
      </c>
      <c r="E7" s="147">
        <f aca="true" t="shared" si="1" ref="E7:Q7">SUM(E8:E10)</f>
        <v>0</v>
      </c>
      <c r="F7" s="147">
        <f t="shared" si="1"/>
        <v>0</v>
      </c>
      <c r="G7" s="147">
        <f t="shared" si="1"/>
        <v>0</v>
      </c>
      <c r="H7" s="147">
        <f t="shared" si="1"/>
        <v>0</v>
      </c>
      <c r="I7" s="147">
        <f t="shared" si="1"/>
        <v>32388.977777777778</v>
      </c>
      <c r="J7" s="147">
        <f t="shared" si="1"/>
        <v>32388.977777777778</v>
      </c>
      <c r="K7" s="147">
        <f t="shared" si="1"/>
        <v>32388.977777777778</v>
      </c>
      <c r="L7" s="147">
        <f t="shared" si="1"/>
        <v>32388.977777777778</v>
      </c>
      <c r="M7" s="147">
        <f t="shared" si="1"/>
        <v>32388.977777777778</v>
      </c>
      <c r="N7" s="147">
        <f t="shared" si="1"/>
        <v>66397.40444444444</v>
      </c>
      <c r="O7" s="147">
        <f t="shared" si="1"/>
        <v>34008.426666666666</v>
      </c>
      <c r="P7" s="147">
        <f t="shared" si="1"/>
        <v>0</v>
      </c>
      <c r="Q7" s="147">
        <f t="shared" si="1"/>
        <v>262350.72</v>
      </c>
    </row>
    <row r="8" spans="1:17" ht="12.75" outlineLevel="1">
      <c r="A8" s="214" t="s">
        <v>240</v>
      </c>
      <c r="B8" s="238">
        <f>984.8/3*2</f>
        <v>656.5333333333333</v>
      </c>
      <c r="C8" s="238">
        <f>2000*Исх!$C$5/1000</f>
        <v>296</v>
      </c>
      <c r="D8" s="157">
        <f>B8*C8</f>
        <v>194333.86666666667</v>
      </c>
      <c r="E8" s="157"/>
      <c r="F8" s="157"/>
      <c r="G8" s="157"/>
      <c r="H8" s="157"/>
      <c r="I8" s="157">
        <f aca="true" t="shared" si="2" ref="I8:N8">$D8/6</f>
        <v>32388.977777777778</v>
      </c>
      <c r="J8" s="157">
        <f t="shared" si="2"/>
        <v>32388.977777777778</v>
      </c>
      <c r="K8" s="157">
        <f t="shared" si="2"/>
        <v>32388.977777777778</v>
      </c>
      <c r="L8" s="157">
        <f t="shared" si="2"/>
        <v>32388.977777777778</v>
      </c>
      <c r="M8" s="157">
        <f t="shared" si="2"/>
        <v>32388.977777777778</v>
      </c>
      <c r="N8" s="157">
        <f t="shared" si="2"/>
        <v>32388.977777777778</v>
      </c>
      <c r="O8" s="157"/>
      <c r="P8" s="157"/>
      <c r="Q8" s="158">
        <f>SUM(E8:P8)</f>
        <v>194333.86666666664</v>
      </c>
    </row>
    <row r="9" spans="1:17" ht="12.75" outlineLevel="1">
      <c r="A9" s="214" t="s">
        <v>241</v>
      </c>
      <c r="B9" s="45">
        <f>B8</f>
        <v>656.5333333333333</v>
      </c>
      <c r="C9" s="238">
        <f>700*Исх!$C$5/1000</f>
        <v>103.6</v>
      </c>
      <c r="D9" s="157">
        <f>B9*C9</f>
        <v>68016.85333333333</v>
      </c>
      <c r="E9" s="157"/>
      <c r="F9" s="157"/>
      <c r="G9" s="157"/>
      <c r="H9" s="157"/>
      <c r="I9" s="157"/>
      <c r="J9" s="157"/>
      <c r="K9" s="157"/>
      <c r="L9" s="157"/>
      <c r="M9" s="157"/>
      <c r="N9" s="157">
        <f>$D9/2</f>
        <v>34008.426666666666</v>
      </c>
      <c r="O9" s="157">
        <f>$D9/2</f>
        <v>34008.426666666666</v>
      </c>
      <c r="P9" s="157"/>
      <c r="Q9" s="158">
        <f>SUM(E9:P9)</f>
        <v>68016.85333333333</v>
      </c>
    </row>
    <row r="10" spans="1:17" ht="12.75" outlineLevel="1">
      <c r="A10" s="214"/>
      <c r="B10" s="148"/>
      <c r="C10" s="148"/>
      <c r="D10" s="157">
        <f>B10*C10</f>
        <v>0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</row>
    <row r="11" spans="1:17" ht="12.75">
      <c r="A11" s="212" t="s">
        <v>122</v>
      </c>
      <c r="B11" s="213"/>
      <c r="C11" s="213"/>
      <c r="D11" s="147">
        <f>SUM(D12:D36)</f>
        <v>22835.2</v>
      </c>
      <c r="E11" s="147">
        <f aca="true" t="shared" si="3" ref="E11:Q11">SUM(E12:E36)</f>
        <v>0</v>
      </c>
      <c r="F11" s="147">
        <f t="shared" si="3"/>
        <v>0</v>
      </c>
      <c r="G11" s="147">
        <f t="shared" si="3"/>
        <v>0</v>
      </c>
      <c r="H11" s="147">
        <f t="shared" si="3"/>
        <v>0</v>
      </c>
      <c r="I11" s="147">
        <f t="shared" si="3"/>
        <v>0</v>
      </c>
      <c r="J11" s="147">
        <f t="shared" si="3"/>
        <v>0</v>
      </c>
      <c r="K11" s="147">
        <f t="shared" si="3"/>
        <v>0</v>
      </c>
      <c r="L11" s="147">
        <f t="shared" si="3"/>
        <v>0</v>
      </c>
      <c r="M11" s="147">
        <f t="shared" si="3"/>
        <v>0</v>
      </c>
      <c r="N11" s="147">
        <f t="shared" si="3"/>
        <v>0</v>
      </c>
      <c r="O11" s="147">
        <f t="shared" si="3"/>
        <v>11417.6</v>
      </c>
      <c r="P11" s="147">
        <f t="shared" si="3"/>
        <v>11417.6</v>
      </c>
      <c r="Q11" s="147">
        <f t="shared" si="3"/>
        <v>22835.2</v>
      </c>
    </row>
    <row r="12" spans="1:17" ht="12.75" outlineLevel="1">
      <c r="A12" s="261" t="s">
        <v>250</v>
      </c>
      <c r="B12" s="86"/>
      <c r="C12" s="148"/>
      <c r="D12" s="157">
        <f aca="true" t="shared" si="4" ref="D12:D36">B12*C12</f>
        <v>0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8">
        <f aca="true" t="shared" si="5" ref="Q12:Q36">SUM(E12:P12)</f>
        <v>0</v>
      </c>
    </row>
    <row r="13" spans="1:17" ht="12.75" outlineLevel="1">
      <c r="A13" s="215" t="s">
        <v>242</v>
      </c>
      <c r="B13" s="238">
        <v>1</v>
      </c>
      <c r="C13" s="238">
        <v>850</v>
      </c>
      <c r="D13" s="157">
        <f t="shared" si="4"/>
        <v>850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>
        <f>$D13/2</f>
        <v>425</v>
      </c>
      <c r="P13" s="157">
        <f>$D13/2</f>
        <v>425</v>
      </c>
      <c r="Q13" s="158">
        <f t="shared" si="5"/>
        <v>850</v>
      </c>
    </row>
    <row r="14" spans="1:17" ht="12.75" outlineLevel="1">
      <c r="A14" s="215" t="s">
        <v>243</v>
      </c>
      <c r="B14" s="238">
        <v>1</v>
      </c>
      <c r="C14" s="238">
        <v>350</v>
      </c>
      <c r="D14" s="157">
        <f t="shared" si="4"/>
        <v>350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>
        <f aca="true" t="shared" si="6" ref="O14:P35">$D14/2</f>
        <v>175</v>
      </c>
      <c r="P14" s="157">
        <f t="shared" si="6"/>
        <v>175</v>
      </c>
      <c r="Q14" s="158">
        <f t="shared" si="5"/>
        <v>350</v>
      </c>
    </row>
    <row r="15" spans="1:17" ht="12.75" outlineLevel="1">
      <c r="A15" s="215" t="s">
        <v>244</v>
      </c>
      <c r="B15" s="238">
        <v>4</v>
      </c>
      <c r="C15" s="238">
        <v>150</v>
      </c>
      <c r="D15" s="157">
        <f t="shared" si="4"/>
        <v>600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>
        <f t="shared" si="6"/>
        <v>300</v>
      </c>
      <c r="P15" s="157">
        <f t="shared" si="6"/>
        <v>300</v>
      </c>
      <c r="Q15" s="158">
        <f t="shared" si="5"/>
        <v>600</v>
      </c>
    </row>
    <row r="16" spans="1:17" ht="12.75" outlineLevel="1">
      <c r="A16" s="215" t="s">
        <v>245</v>
      </c>
      <c r="B16" s="238">
        <v>12</v>
      </c>
      <c r="C16" s="238">
        <v>40</v>
      </c>
      <c r="D16" s="157">
        <f t="shared" si="4"/>
        <v>480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>
        <f t="shared" si="6"/>
        <v>240</v>
      </c>
      <c r="P16" s="157">
        <f t="shared" si="6"/>
        <v>240</v>
      </c>
      <c r="Q16" s="158">
        <f t="shared" si="5"/>
        <v>480</v>
      </c>
    </row>
    <row r="17" spans="1:17" ht="12.75" outlineLevel="1">
      <c r="A17" s="215" t="s">
        <v>246</v>
      </c>
      <c r="B17" s="238">
        <f>B16*4</f>
        <v>48</v>
      </c>
      <c r="C17" s="238">
        <v>7</v>
      </c>
      <c r="D17" s="157">
        <f t="shared" si="4"/>
        <v>336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>
        <f t="shared" si="6"/>
        <v>168</v>
      </c>
      <c r="P17" s="157">
        <f t="shared" si="6"/>
        <v>168</v>
      </c>
      <c r="Q17" s="158">
        <f t="shared" si="5"/>
        <v>336</v>
      </c>
    </row>
    <row r="18" spans="1:17" ht="12.75" outlineLevel="1">
      <c r="A18" s="215" t="s">
        <v>247</v>
      </c>
      <c r="B18" s="238">
        <v>4</v>
      </c>
      <c r="C18" s="238">
        <v>40</v>
      </c>
      <c r="D18" s="157">
        <f t="shared" si="4"/>
        <v>160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>
        <f t="shared" si="6"/>
        <v>80</v>
      </c>
      <c r="P18" s="157">
        <f t="shared" si="6"/>
        <v>80</v>
      </c>
      <c r="Q18" s="158">
        <f t="shared" si="5"/>
        <v>160</v>
      </c>
    </row>
    <row r="19" spans="1:17" ht="12.75" outlineLevel="1">
      <c r="A19" s="215" t="s">
        <v>248</v>
      </c>
      <c r="B19" s="238">
        <v>1</v>
      </c>
      <c r="C19" s="238">
        <v>500</v>
      </c>
      <c r="D19" s="157">
        <f t="shared" si="4"/>
        <v>500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>
        <f t="shared" si="6"/>
        <v>250</v>
      </c>
      <c r="P19" s="157">
        <f t="shared" si="6"/>
        <v>250</v>
      </c>
      <c r="Q19" s="158">
        <f t="shared" si="5"/>
        <v>500</v>
      </c>
    </row>
    <row r="20" spans="1:17" ht="12.75" outlineLevel="1">
      <c r="A20" s="215" t="s">
        <v>249</v>
      </c>
      <c r="B20" s="238">
        <v>1</v>
      </c>
      <c r="C20" s="238">
        <v>5000</v>
      </c>
      <c r="D20" s="157">
        <f t="shared" si="4"/>
        <v>5000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>
        <f t="shared" si="6"/>
        <v>2500</v>
      </c>
      <c r="P20" s="157">
        <f t="shared" si="6"/>
        <v>2500</v>
      </c>
      <c r="Q20" s="158">
        <f t="shared" si="5"/>
        <v>5000</v>
      </c>
    </row>
    <row r="21" spans="1:17" ht="12.75" outlineLevel="1">
      <c r="A21" s="215"/>
      <c r="B21" s="148"/>
      <c r="C21" s="148"/>
      <c r="D21" s="157">
        <f t="shared" si="4"/>
        <v>0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>
        <f t="shared" si="6"/>
        <v>0</v>
      </c>
      <c r="P21" s="157">
        <f t="shared" si="6"/>
        <v>0</v>
      </c>
      <c r="Q21" s="158">
        <f t="shared" si="5"/>
        <v>0</v>
      </c>
    </row>
    <row r="22" spans="1:17" ht="12.75" outlineLevel="1">
      <c r="A22" s="261" t="s">
        <v>331</v>
      </c>
      <c r="B22" s="148"/>
      <c r="C22" s="148"/>
      <c r="D22" s="157">
        <f t="shared" si="4"/>
        <v>0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>
        <f t="shared" si="6"/>
        <v>0</v>
      </c>
      <c r="P22" s="157">
        <f t="shared" si="6"/>
        <v>0</v>
      </c>
      <c r="Q22" s="158">
        <f t="shared" si="5"/>
        <v>0</v>
      </c>
    </row>
    <row r="23" spans="1:17" ht="12.75" outlineLevel="1">
      <c r="A23" s="215" t="s">
        <v>251</v>
      </c>
      <c r="B23" s="238">
        <v>24</v>
      </c>
      <c r="C23" s="238">
        <v>50</v>
      </c>
      <c r="D23" s="157">
        <f t="shared" si="4"/>
        <v>1200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>
        <f t="shared" si="6"/>
        <v>600</v>
      </c>
      <c r="P23" s="157">
        <f t="shared" si="6"/>
        <v>600</v>
      </c>
      <c r="Q23" s="158">
        <f t="shared" si="5"/>
        <v>1200</v>
      </c>
    </row>
    <row r="24" spans="1:17" ht="12.75" outlineLevel="1">
      <c r="A24" s="215" t="s">
        <v>252</v>
      </c>
      <c r="B24" s="238">
        <f>24*2</f>
        <v>48</v>
      </c>
      <c r="C24" s="238">
        <v>20</v>
      </c>
      <c r="D24" s="157">
        <f>B24*C24</f>
        <v>960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>
        <f t="shared" si="6"/>
        <v>480</v>
      </c>
      <c r="P24" s="157">
        <f t="shared" si="6"/>
        <v>480</v>
      </c>
      <c r="Q24" s="158">
        <f t="shared" si="5"/>
        <v>960</v>
      </c>
    </row>
    <row r="25" spans="1:17" ht="12.75" outlineLevel="1">
      <c r="A25" s="215" t="s">
        <v>253</v>
      </c>
      <c r="B25" s="238">
        <v>6</v>
      </c>
      <c r="C25" s="238">
        <v>85</v>
      </c>
      <c r="D25" s="157">
        <f>B25*C25</f>
        <v>510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>
        <f t="shared" si="6"/>
        <v>255</v>
      </c>
      <c r="P25" s="157">
        <f t="shared" si="6"/>
        <v>255</v>
      </c>
      <c r="Q25" s="158">
        <f t="shared" si="5"/>
        <v>510</v>
      </c>
    </row>
    <row r="26" spans="1:17" ht="12.75" outlineLevel="1">
      <c r="A26" s="215" t="s">
        <v>254</v>
      </c>
      <c r="B26" s="238">
        <f>18</f>
        <v>18</v>
      </c>
      <c r="C26" s="238">
        <v>60</v>
      </c>
      <c r="D26" s="157">
        <f t="shared" si="4"/>
        <v>1080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>
        <f t="shared" si="6"/>
        <v>540</v>
      </c>
      <c r="P26" s="157">
        <f t="shared" si="6"/>
        <v>540</v>
      </c>
      <c r="Q26" s="158">
        <f t="shared" si="5"/>
        <v>1080</v>
      </c>
    </row>
    <row r="27" spans="1:17" ht="12.75" outlineLevel="1">
      <c r="A27" s="215" t="s">
        <v>255</v>
      </c>
      <c r="B27" s="238">
        <f>24</f>
        <v>24</v>
      </c>
      <c r="C27" s="238">
        <v>35</v>
      </c>
      <c r="D27" s="157">
        <f t="shared" si="4"/>
        <v>840</v>
      </c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>
        <f t="shared" si="6"/>
        <v>420</v>
      </c>
      <c r="P27" s="157">
        <f t="shared" si="6"/>
        <v>420</v>
      </c>
      <c r="Q27" s="158">
        <f t="shared" si="5"/>
        <v>840</v>
      </c>
    </row>
    <row r="28" spans="1:17" ht="12.75" outlineLevel="1">
      <c r="A28" s="215" t="s">
        <v>247</v>
      </c>
      <c r="B28" s="238">
        <f>24</f>
        <v>24</v>
      </c>
      <c r="C28" s="238">
        <v>40</v>
      </c>
      <c r="D28" s="157">
        <f t="shared" si="4"/>
        <v>960</v>
      </c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>
        <f t="shared" si="6"/>
        <v>480</v>
      </c>
      <c r="P28" s="157">
        <f t="shared" si="6"/>
        <v>480</v>
      </c>
      <c r="Q28" s="158">
        <f t="shared" si="5"/>
        <v>960</v>
      </c>
    </row>
    <row r="29" spans="1:17" ht="12.75" outlineLevel="1">
      <c r="A29" s="215" t="s">
        <v>246</v>
      </c>
      <c r="B29" s="238">
        <f>24*2</f>
        <v>48</v>
      </c>
      <c r="C29" s="238">
        <v>8</v>
      </c>
      <c r="D29" s="157">
        <f>B29*C29</f>
        <v>384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>
        <f t="shared" si="6"/>
        <v>192</v>
      </c>
      <c r="P29" s="157">
        <f t="shared" si="6"/>
        <v>192</v>
      </c>
      <c r="Q29" s="158">
        <f t="shared" si="5"/>
        <v>384</v>
      </c>
    </row>
    <row r="30" spans="1:17" ht="12.75" outlineLevel="1">
      <c r="A30" s="215" t="s">
        <v>256</v>
      </c>
      <c r="B30" s="238">
        <f>24</f>
        <v>24</v>
      </c>
      <c r="C30" s="238">
        <v>15</v>
      </c>
      <c r="D30" s="157">
        <f>B30*C30</f>
        <v>360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>
        <f t="shared" si="6"/>
        <v>180</v>
      </c>
      <c r="P30" s="157">
        <f t="shared" si="6"/>
        <v>180</v>
      </c>
      <c r="Q30" s="158">
        <f t="shared" si="5"/>
        <v>360</v>
      </c>
    </row>
    <row r="31" spans="1:17" ht="12.75" outlineLevel="1">
      <c r="A31" s="215" t="s">
        <v>257</v>
      </c>
      <c r="B31" s="238">
        <v>24</v>
      </c>
      <c r="C31" s="238">
        <v>30</v>
      </c>
      <c r="D31" s="157">
        <f t="shared" si="4"/>
        <v>720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>
        <f t="shared" si="6"/>
        <v>360</v>
      </c>
      <c r="P31" s="157">
        <f t="shared" si="6"/>
        <v>360</v>
      </c>
      <c r="Q31" s="158">
        <f t="shared" si="5"/>
        <v>720</v>
      </c>
    </row>
    <row r="32" spans="1:17" ht="12.75" outlineLevel="1">
      <c r="A32" s="215" t="s">
        <v>258</v>
      </c>
      <c r="B32" s="238">
        <f>24*6</f>
        <v>144</v>
      </c>
      <c r="C32" s="238">
        <v>3.3</v>
      </c>
      <c r="D32" s="157">
        <f t="shared" si="4"/>
        <v>475.2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>
        <f t="shared" si="6"/>
        <v>237.6</v>
      </c>
      <c r="P32" s="157">
        <f t="shared" si="6"/>
        <v>237.6</v>
      </c>
      <c r="Q32" s="158">
        <f t="shared" si="5"/>
        <v>475.2</v>
      </c>
    </row>
    <row r="33" spans="1:17" ht="12.75" outlineLevel="1">
      <c r="A33" s="215" t="s">
        <v>259</v>
      </c>
      <c r="B33" s="238">
        <v>24</v>
      </c>
      <c r="C33" s="238">
        <v>40</v>
      </c>
      <c r="D33" s="157">
        <f t="shared" si="4"/>
        <v>960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>
        <f t="shared" si="6"/>
        <v>480</v>
      </c>
      <c r="P33" s="157">
        <f t="shared" si="6"/>
        <v>480</v>
      </c>
      <c r="Q33" s="158">
        <f t="shared" si="5"/>
        <v>960</v>
      </c>
    </row>
    <row r="34" spans="1:17" ht="12.75" outlineLevel="1">
      <c r="A34" s="215" t="s">
        <v>260</v>
      </c>
      <c r="B34" s="238">
        <v>2</v>
      </c>
      <c r="C34" s="238">
        <v>55</v>
      </c>
      <c r="D34" s="157">
        <f t="shared" si="4"/>
        <v>110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>
        <f t="shared" si="6"/>
        <v>55</v>
      </c>
      <c r="P34" s="157">
        <f t="shared" si="6"/>
        <v>55</v>
      </c>
      <c r="Q34" s="158">
        <f t="shared" si="5"/>
        <v>110</v>
      </c>
    </row>
    <row r="35" spans="1:17" ht="12.75" outlineLevel="1">
      <c r="A35" s="215" t="s">
        <v>261</v>
      </c>
      <c r="B35" s="238">
        <v>24</v>
      </c>
      <c r="C35" s="238">
        <v>250</v>
      </c>
      <c r="D35" s="157">
        <f t="shared" si="4"/>
        <v>6000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>
        <f t="shared" si="6"/>
        <v>3000</v>
      </c>
      <c r="P35" s="157">
        <f t="shared" si="6"/>
        <v>3000</v>
      </c>
      <c r="Q35" s="158">
        <f t="shared" si="5"/>
        <v>6000</v>
      </c>
    </row>
    <row r="36" spans="1:17" ht="12.75" outlineLevel="1">
      <c r="A36" s="215"/>
      <c r="B36" s="148"/>
      <c r="C36" s="148"/>
      <c r="D36" s="157">
        <f t="shared" si="4"/>
        <v>0</v>
      </c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8">
        <f t="shared" si="5"/>
        <v>0</v>
      </c>
    </row>
    <row r="37" spans="1:17" ht="12.75">
      <c r="A37" s="144" t="s">
        <v>0</v>
      </c>
      <c r="B37" s="171"/>
      <c r="C37" s="171"/>
      <c r="D37" s="171">
        <f>D5+D7+D11</f>
        <v>285185.92</v>
      </c>
      <c r="E37" s="171">
        <f aca="true" t="shared" si="7" ref="E37:Q37">E5+E7+E11</f>
        <v>0</v>
      </c>
      <c r="F37" s="171">
        <f t="shared" si="7"/>
        <v>0</v>
      </c>
      <c r="G37" s="171">
        <f t="shared" si="7"/>
        <v>0</v>
      </c>
      <c r="H37" s="171">
        <f t="shared" si="7"/>
        <v>0</v>
      </c>
      <c r="I37" s="171">
        <f>I5+I7+I11</f>
        <v>32388.977777777778</v>
      </c>
      <c r="J37" s="171">
        <f t="shared" si="7"/>
        <v>32388.977777777778</v>
      </c>
      <c r="K37" s="171">
        <f t="shared" si="7"/>
        <v>32388.977777777778</v>
      </c>
      <c r="L37" s="171">
        <f t="shared" si="7"/>
        <v>32388.977777777778</v>
      </c>
      <c r="M37" s="171">
        <f t="shared" si="7"/>
        <v>32388.977777777778</v>
      </c>
      <c r="N37" s="171">
        <f t="shared" si="7"/>
        <v>66397.40444444444</v>
      </c>
      <c r="O37" s="171">
        <f t="shared" si="7"/>
        <v>45426.026666666665</v>
      </c>
      <c r="P37" s="171">
        <f t="shared" si="7"/>
        <v>11417.6</v>
      </c>
      <c r="Q37" s="171">
        <f t="shared" si="7"/>
        <v>285185.92</v>
      </c>
    </row>
    <row r="38" ht="12.75">
      <c r="D38" s="208">
        <f>D37-Q37</f>
        <v>0</v>
      </c>
    </row>
    <row r="39" spans="2:4" ht="12.75">
      <c r="B39" s="150" t="s">
        <v>65</v>
      </c>
      <c r="C39" s="208" t="s">
        <v>47</v>
      </c>
      <c r="D39" s="216" t="s">
        <v>108</v>
      </c>
    </row>
    <row r="40" spans="1:4" ht="12.75">
      <c r="A40" s="78" t="s">
        <v>273</v>
      </c>
      <c r="B40" s="208">
        <f>Q5</f>
        <v>0</v>
      </c>
      <c r="C40" s="208">
        <f>B40</f>
        <v>0</v>
      </c>
      <c r="D40" s="172">
        <f>B40/Исх!$C$5</f>
        <v>0</v>
      </c>
    </row>
    <row r="41" spans="1:12" ht="12.75">
      <c r="A41" s="78" t="s">
        <v>130</v>
      </c>
      <c r="B41" s="208">
        <f>Q7</f>
        <v>262350.72</v>
      </c>
      <c r="C41" s="208">
        <f>B41/Исх!$C$18</f>
        <v>234241.71428571423</v>
      </c>
      <c r="D41" s="172">
        <f>B41/Исх!$C$5</f>
        <v>1772.6399999999999</v>
      </c>
      <c r="L41" s="177"/>
    </row>
    <row r="42" spans="1:12" ht="12.75">
      <c r="A42" s="78" t="s">
        <v>122</v>
      </c>
      <c r="B42" s="208">
        <f>Q11</f>
        <v>22835.2</v>
      </c>
      <c r="C42" s="208">
        <f>B42/Исх!$C$18</f>
        <v>20388.571428571428</v>
      </c>
      <c r="D42" s="172">
        <f>B42/Исх!$C$5</f>
        <v>154.2918918918919</v>
      </c>
      <c r="L42" s="177"/>
    </row>
    <row r="43" spans="1:4" ht="12.75">
      <c r="A43" s="62" t="s">
        <v>96</v>
      </c>
      <c r="B43" s="217">
        <f>SUM(B40:B42)</f>
        <v>285185.92</v>
      </c>
      <c r="C43" s="217">
        <f>SUM(C40:C42)</f>
        <v>254630.28571428565</v>
      </c>
      <c r="D43" s="217">
        <f>SUM(D40:D42)</f>
        <v>1926.9318918918918</v>
      </c>
    </row>
  </sheetData>
  <sheetProtection/>
  <mergeCells count="1">
    <mergeCell ref="E3:P3"/>
  </mergeCells>
  <printOptions/>
  <pageMargins left="0.48" right="0.2362204724409449" top="0.69" bottom="0.2755905511811024" header="0.52" footer="0.1968503937007874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J8" sqref="J8"/>
    </sheetView>
  </sheetViews>
  <sheetFormatPr defaultColWidth="9.00390625" defaultRowHeight="12.75"/>
  <cols>
    <col min="1" max="1" width="38.625" style="78" customWidth="1"/>
    <col min="2" max="2" width="10.00390625" style="78" hidden="1" customWidth="1"/>
    <col min="3" max="16384" width="9.125" style="78" customWidth="1"/>
  </cols>
  <sheetData>
    <row r="1" spans="1:6" ht="12.75">
      <c r="A1" s="62" t="s">
        <v>81</v>
      </c>
      <c r="B1" s="62"/>
      <c r="C1" s="62"/>
      <c r="D1" s="62"/>
      <c r="E1" s="62"/>
      <c r="F1" s="62"/>
    </row>
    <row r="2" spans="1:8" ht="12.75">
      <c r="A2" s="218"/>
      <c r="B2" s="218"/>
      <c r="C2" s="218"/>
      <c r="D2" s="218"/>
      <c r="E2" s="218"/>
      <c r="F2" s="218"/>
      <c r="H2" s="150" t="str">
        <f>Исх!C9</f>
        <v>тыс.тг.</v>
      </c>
    </row>
    <row r="3" spans="1:8" ht="12.75">
      <c r="A3" s="230" t="s">
        <v>10</v>
      </c>
      <c r="B3" s="257">
        <v>2012</v>
      </c>
      <c r="C3" s="257">
        <f aca="true" t="shared" si="0" ref="C3:H3">B3+1</f>
        <v>2013</v>
      </c>
      <c r="D3" s="257">
        <f t="shared" si="0"/>
        <v>2014</v>
      </c>
      <c r="E3" s="257">
        <f t="shared" si="0"/>
        <v>2015</v>
      </c>
      <c r="F3" s="257">
        <f t="shared" si="0"/>
        <v>2016</v>
      </c>
      <c r="G3" s="257">
        <f t="shared" si="0"/>
        <v>2017</v>
      </c>
      <c r="H3" s="257">
        <f t="shared" si="0"/>
        <v>2018</v>
      </c>
    </row>
    <row r="4" spans="1:8" ht="12.75">
      <c r="A4" s="219" t="s">
        <v>133</v>
      </c>
      <c r="B4" s="220">
        <f>'2-ф2'!P5</f>
        <v>0</v>
      </c>
      <c r="C4" s="220">
        <f>'2-ф2'!AC5</f>
        <v>93932.14285714286</v>
      </c>
      <c r="D4" s="220">
        <f>'2-ф2'!AD5</f>
        <v>93932.14285714286</v>
      </c>
      <c r="E4" s="220">
        <f>'2-ф2'!AE5</f>
        <v>94621.60714285714</v>
      </c>
      <c r="F4" s="220">
        <f>'2-ф2'!AF5</f>
        <v>95345.54464285714</v>
      </c>
      <c r="G4" s="220">
        <f>'2-ф2'!AG5</f>
        <v>96105.67901785714</v>
      </c>
      <c r="H4" s="220">
        <f>'2-ф2'!AH5</f>
        <v>96903.82011160714</v>
      </c>
    </row>
    <row r="5" spans="1:8" ht="12.75">
      <c r="A5" s="219" t="s">
        <v>97</v>
      </c>
      <c r="B5" s="221">
        <f aca="true" t="shared" si="1" ref="B5:H5">B4-B6</f>
        <v>-6915.616959999999</v>
      </c>
      <c r="C5" s="221">
        <f t="shared" si="1"/>
        <v>16370.217317518298</v>
      </c>
      <c r="D5" s="221">
        <f t="shared" si="1"/>
        <v>20634.715871180117</v>
      </c>
      <c r="E5" s="221">
        <f t="shared" si="1"/>
        <v>25692.796852012412</v>
      </c>
      <c r="F5" s="221">
        <f t="shared" si="1"/>
        <v>30767.25260963042</v>
      </c>
      <c r="G5" s="221">
        <f t="shared" si="1"/>
        <v>35858.90188287342</v>
      </c>
      <c r="H5" s="221">
        <f t="shared" si="1"/>
        <v>40937.185449590324</v>
      </c>
    </row>
    <row r="6" spans="1:8" ht="12.75">
      <c r="A6" s="219" t="s">
        <v>141</v>
      </c>
      <c r="B6" s="222">
        <f aca="true" t="shared" si="2" ref="B6:H6">SUM(B7:B8)</f>
        <v>6915.616959999999</v>
      </c>
      <c r="C6" s="222">
        <f t="shared" si="2"/>
        <v>77561.92553962456</v>
      </c>
      <c r="D6" s="222">
        <f t="shared" si="2"/>
        <v>73297.42698596274</v>
      </c>
      <c r="E6" s="222">
        <f t="shared" si="2"/>
        <v>68928.81029084473</v>
      </c>
      <c r="F6" s="222">
        <f t="shared" si="2"/>
        <v>64578.292033226724</v>
      </c>
      <c r="G6" s="222">
        <f t="shared" si="2"/>
        <v>60246.77713498372</v>
      </c>
      <c r="H6" s="222">
        <f t="shared" si="2"/>
        <v>55966.63466201682</v>
      </c>
    </row>
    <row r="7" spans="1:8" ht="12.75">
      <c r="A7" s="219" t="s">
        <v>98</v>
      </c>
      <c r="B7" s="220">
        <f>'2-ф2'!P14+'2-ф2'!P13+'2-ф2'!P12</f>
        <v>6915.616959999999</v>
      </c>
      <c r="C7" s="220">
        <f>'2-ф2'!AC14+'2-ф2'!AC13+'2-ф2'!AC12</f>
        <v>70667.2826824817</v>
      </c>
      <c r="D7" s="220">
        <f>'2-ф2'!AD14+'2-ф2'!AD13+'2-ф2'!AD12</f>
        <v>66058.05198596274</v>
      </c>
      <c r="E7" s="220">
        <f>'2-ф2'!AE14+'2-ф2'!AE13+'2-ф2'!AE12</f>
        <v>61327.46654084473</v>
      </c>
      <c r="F7" s="220">
        <f>'2-ф2'!AF14+'2-ф2'!AF13+'2-ф2'!AF12</f>
        <v>56596.88109572673</v>
      </c>
      <c r="G7" s="220">
        <f>'2-ф2'!AG14+'2-ф2'!AG13+'2-ф2'!AG12</f>
        <v>51866.29565060872</v>
      </c>
      <c r="H7" s="220">
        <f>'2-ф2'!AH14+'2-ф2'!AH13+'2-ф2'!AH12</f>
        <v>47167.12910342307</v>
      </c>
    </row>
    <row r="8" spans="1:8" ht="12.75">
      <c r="A8" s="219" t="s">
        <v>99</v>
      </c>
      <c r="B8" s="220">
        <f>'2-ф2'!P8</f>
        <v>0</v>
      </c>
      <c r="C8" s="220">
        <f>'2-ф2'!AC8</f>
        <v>6894.642857142858</v>
      </c>
      <c r="D8" s="220">
        <f>'2-ф2'!AD8</f>
        <v>7239.374999999998</v>
      </c>
      <c r="E8" s="220">
        <f>'2-ф2'!AE8</f>
        <v>7601.343749999998</v>
      </c>
      <c r="F8" s="220">
        <f>'2-ф2'!AF8</f>
        <v>7981.410937499999</v>
      </c>
      <c r="G8" s="220">
        <f>'2-ф2'!AG8</f>
        <v>8380.481484375001</v>
      </c>
      <c r="H8" s="220">
        <f>'2-ф2'!AH8</f>
        <v>8799.50555859375</v>
      </c>
    </row>
    <row r="9" spans="1:8" ht="12.75">
      <c r="A9" s="219" t="s">
        <v>100</v>
      </c>
      <c r="B9" s="222">
        <f aca="true" t="shared" si="3" ref="B9:H9">B4-B8</f>
        <v>0</v>
      </c>
      <c r="C9" s="222">
        <f t="shared" si="3"/>
        <v>87037.5</v>
      </c>
      <c r="D9" s="222">
        <f t="shared" si="3"/>
        <v>86692.76785714286</v>
      </c>
      <c r="E9" s="222">
        <f t="shared" si="3"/>
        <v>87020.26339285714</v>
      </c>
      <c r="F9" s="222">
        <f t="shared" si="3"/>
        <v>87364.13370535715</v>
      </c>
      <c r="G9" s="222">
        <f t="shared" si="3"/>
        <v>87725.19753348213</v>
      </c>
      <c r="H9" s="222">
        <f t="shared" si="3"/>
        <v>88104.31455301339</v>
      </c>
    </row>
    <row r="10" spans="1:8" ht="12.75">
      <c r="A10" s="219" t="s">
        <v>82</v>
      </c>
      <c r="B10" s="223" t="e">
        <f aca="true" t="shared" si="4" ref="B10:H10">B9/B4</f>
        <v>#DIV/0!</v>
      </c>
      <c r="C10" s="223">
        <f t="shared" si="4"/>
        <v>0.9265997490589711</v>
      </c>
      <c r="D10" s="223">
        <f t="shared" si="4"/>
        <v>0.9229297365119197</v>
      </c>
      <c r="E10" s="223">
        <f t="shared" si="4"/>
        <v>0.9196658778103008</v>
      </c>
      <c r="F10" s="223">
        <f t="shared" si="4"/>
        <v>0.916289628766645</v>
      </c>
      <c r="G10" s="223">
        <f t="shared" si="4"/>
        <v>0.9127993104047696</v>
      </c>
      <c r="H10" s="223">
        <f t="shared" si="4"/>
        <v>0.9091934090063829</v>
      </c>
    </row>
    <row r="11" spans="1:8" ht="12.75">
      <c r="A11" s="219" t="s">
        <v>101</v>
      </c>
      <c r="B11" s="222" t="e">
        <f aca="true" t="shared" si="5" ref="B11:H11">B7/B10</f>
        <v>#DIV/0!</v>
      </c>
      <c r="C11" s="222">
        <f t="shared" si="5"/>
        <v>76265.1649261177</v>
      </c>
      <c r="D11" s="222">
        <f t="shared" si="5"/>
        <v>71574.30232513654</v>
      </c>
      <c r="E11" s="222">
        <f t="shared" si="5"/>
        <v>66684.50795071766</v>
      </c>
      <c r="F11" s="222">
        <f t="shared" si="5"/>
        <v>61767.45792911345</v>
      </c>
      <c r="G11" s="222">
        <f t="shared" si="5"/>
        <v>56821.13807427095</v>
      </c>
      <c r="H11" s="222">
        <f t="shared" si="5"/>
        <v>51877.992774903556</v>
      </c>
    </row>
    <row r="12" spans="1:8" ht="25.5">
      <c r="A12" s="224" t="s">
        <v>83</v>
      </c>
      <c r="B12" s="225" t="e">
        <f aca="true" t="shared" si="6" ref="B12:H12">(B4-B11)/B4</f>
        <v>#DIV/0!</v>
      </c>
      <c r="C12" s="225">
        <f t="shared" si="6"/>
        <v>0.18808234746538327</v>
      </c>
      <c r="D12" s="225">
        <f t="shared" si="6"/>
        <v>0.23802119116998474</v>
      </c>
      <c r="E12" s="225">
        <f t="shared" si="6"/>
        <v>0.2952507364407879</v>
      </c>
      <c r="F12" s="225">
        <f t="shared" si="6"/>
        <v>0.35217258278317687</v>
      </c>
      <c r="G12" s="225">
        <f t="shared" si="6"/>
        <v>0.4087639913171711</v>
      </c>
      <c r="H12" s="225">
        <f t="shared" si="6"/>
        <v>0.46464450302213</v>
      </c>
    </row>
    <row r="13" spans="1:8" ht="12.75">
      <c r="A13" s="219" t="s">
        <v>119</v>
      </c>
      <c r="B13" s="226" t="e">
        <f aca="true" t="shared" si="7" ref="B13:H13">100%-B12</f>
        <v>#DIV/0!</v>
      </c>
      <c r="C13" s="226">
        <f t="shared" si="7"/>
        <v>0.8119176525346168</v>
      </c>
      <c r="D13" s="226">
        <f t="shared" si="7"/>
        <v>0.7619788088300152</v>
      </c>
      <c r="E13" s="226">
        <f t="shared" si="7"/>
        <v>0.7047492635592121</v>
      </c>
      <c r="F13" s="226">
        <f t="shared" si="7"/>
        <v>0.6478274172168231</v>
      </c>
      <c r="G13" s="226">
        <f t="shared" si="7"/>
        <v>0.5912360086828289</v>
      </c>
      <c r="H13" s="226">
        <f t="shared" si="7"/>
        <v>0.53535549697787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N59"/>
  <sheetViews>
    <sheetView showGridLines="0" tabSelected="1" zoomScalePageLayoutView="0" workbookViewId="0" topLeftCell="A1">
      <pane ySplit="2" topLeftCell="A27" activePane="bottomLeft" state="frozen"/>
      <selection pane="topLeft" activeCell="A34" sqref="A34"/>
      <selection pane="bottomLeft" activeCell="F26" sqref="F26"/>
    </sheetView>
  </sheetViews>
  <sheetFormatPr defaultColWidth="9.00390625" defaultRowHeight="12.75"/>
  <cols>
    <col min="1" max="1" width="53.75390625" style="72" customWidth="1"/>
    <col min="2" max="2" width="16.875" style="73" customWidth="1"/>
    <col min="3" max="3" width="14.25390625" style="71" customWidth="1"/>
    <col min="4" max="4" width="11.00390625" style="71" customWidth="1"/>
    <col min="5" max="16384" width="9.125" style="71" customWidth="1"/>
  </cols>
  <sheetData>
    <row r="1" ht="13.5" customHeight="1"/>
    <row r="2" spans="1:2" ht="13.5" customHeight="1">
      <c r="A2" s="243" t="s">
        <v>335</v>
      </c>
      <c r="B2" s="244">
        <v>2012</v>
      </c>
    </row>
    <row r="3" spans="1:2" ht="13.5" customHeight="1">
      <c r="A3" s="239" t="s">
        <v>203</v>
      </c>
      <c r="B3" s="240">
        <f>'1-Ф3'!B21</f>
        <v>285185.92</v>
      </c>
    </row>
    <row r="4" spans="1:2" ht="13.5" customHeight="1">
      <c r="A4" s="239" t="s">
        <v>202</v>
      </c>
      <c r="B4" s="240">
        <f>'1-Ф3'!B27-'1-Ф3'!B21</f>
        <v>11666.666666666686</v>
      </c>
    </row>
    <row r="5" spans="1:2" ht="13.5" customHeight="1">
      <c r="A5" s="241" t="s">
        <v>96</v>
      </c>
      <c r="B5" s="242">
        <f>SUM(B3:B4)</f>
        <v>296852.58666666667</v>
      </c>
    </row>
    <row r="6" spans="1:2" ht="13.5" customHeight="1">
      <c r="A6" s="74"/>
      <c r="B6" s="75"/>
    </row>
    <row r="7" spans="1:4" ht="13.5" customHeight="1">
      <c r="A7" s="243" t="s">
        <v>336</v>
      </c>
      <c r="B7" s="244" t="s">
        <v>188</v>
      </c>
      <c r="C7" s="244" t="s">
        <v>10</v>
      </c>
      <c r="D7" s="244" t="s">
        <v>205</v>
      </c>
    </row>
    <row r="8" spans="1:6" ht="13.5" customHeight="1">
      <c r="A8" s="239" t="s">
        <v>204</v>
      </c>
      <c r="B8" s="240">
        <f>'1-Ф3'!B28</f>
        <v>89055.776</v>
      </c>
      <c r="C8" s="247" t="s">
        <v>334</v>
      </c>
      <c r="D8" s="245">
        <f>B8/$B$10</f>
        <v>0.3</v>
      </c>
      <c r="F8" s="248" t="s">
        <v>215</v>
      </c>
    </row>
    <row r="9" spans="1:6" ht="13.5" customHeight="1">
      <c r="A9" s="239" t="s">
        <v>120</v>
      </c>
      <c r="B9" s="240">
        <f>'1-Ф3'!B29</f>
        <v>207796.8106666667</v>
      </c>
      <c r="C9" s="247" t="s">
        <v>333</v>
      </c>
      <c r="D9" s="245">
        <f>B9/$B$10</f>
        <v>0.7000000000000001</v>
      </c>
      <c r="F9" s="248" t="s">
        <v>215</v>
      </c>
    </row>
    <row r="10" spans="1:4" ht="12.75">
      <c r="A10" s="241" t="s">
        <v>96</v>
      </c>
      <c r="B10" s="242">
        <f>SUM(B8:B9)</f>
        <v>296852.58666666667</v>
      </c>
      <c r="C10" s="242"/>
      <c r="D10" s="246">
        <f>SUM(D8:D9)</f>
        <v>1</v>
      </c>
    </row>
    <row r="11" spans="1:2" ht="12.75">
      <c r="A11" s="77"/>
      <c r="B11" s="76"/>
    </row>
    <row r="12" spans="1:6" ht="12.75">
      <c r="A12" s="239" t="s">
        <v>206</v>
      </c>
      <c r="B12" s="240" t="s">
        <v>207</v>
      </c>
      <c r="F12" s="248"/>
    </row>
    <row r="13" spans="1:2" ht="12.75">
      <c r="A13" s="239" t="s">
        <v>208</v>
      </c>
      <c r="B13" s="245">
        <f>Исх!C31</f>
        <v>0.12</v>
      </c>
    </row>
    <row r="14" spans="1:6" ht="12.75">
      <c r="A14" s="239" t="s">
        <v>209</v>
      </c>
      <c r="B14" s="240" t="s">
        <v>210</v>
      </c>
      <c r="F14" s="248"/>
    </row>
    <row r="15" spans="1:2" ht="12.75">
      <c r="A15" s="239" t="s">
        <v>213</v>
      </c>
      <c r="B15" s="240">
        <f>Исх!C33</f>
        <v>9</v>
      </c>
    </row>
    <row r="16" spans="1:2" ht="12.75">
      <c r="A16" s="239" t="s">
        <v>214</v>
      </c>
      <c r="B16" s="240">
        <f>Исх!C34</f>
        <v>9</v>
      </c>
    </row>
    <row r="17" spans="1:6" ht="12.75">
      <c r="A17" s="239" t="s">
        <v>211</v>
      </c>
      <c r="B17" s="240" t="s">
        <v>212</v>
      </c>
      <c r="F17" s="248"/>
    </row>
    <row r="19" spans="1:6" ht="12.75">
      <c r="A19" s="239" t="s">
        <v>235</v>
      </c>
      <c r="B19" s="240">
        <f>'2-ф2'!AF17</f>
        <v>24613.80208770434</v>
      </c>
      <c r="F19" s="71" t="s">
        <v>231</v>
      </c>
    </row>
    <row r="20" spans="1:2" ht="12.75">
      <c r="A20" s="239" t="s">
        <v>216</v>
      </c>
      <c r="B20" s="245">
        <f>('3-Баланс'!AF26-'3-Баланс'!AE26)/'3-Баланс'!AF16</f>
        <v>0.1082320977391085</v>
      </c>
    </row>
    <row r="21" spans="1:2" ht="12.75">
      <c r="A21" s="71"/>
      <c r="B21" s="71"/>
    </row>
    <row r="22" spans="1:6" ht="12.75">
      <c r="A22" s="239" t="s">
        <v>337</v>
      </c>
      <c r="B22" s="255">
        <f>'3-Баланс'!AF12/'3-Баланс'!AF5</f>
        <v>0.877800037901585</v>
      </c>
      <c r="F22" s="71" t="s">
        <v>231</v>
      </c>
    </row>
    <row r="23" spans="1:6" ht="12.75">
      <c r="A23" s="239" t="s">
        <v>232</v>
      </c>
      <c r="B23" s="255">
        <f>'3-Баланс'!AF24/'3-Баланс'!AF21</f>
        <v>2.2900992565485088</v>
      </c>
      <c r="F23" s="71" t="s">
        <v>231</v>
      </c>
    </row>
    <row r="25" spans="1:6" ht="12.75">
      <c r="A25" s="239" t="s">
        <v>217</v>
      </c>
      <c r="B25" s="245">
        <f>'1-Ф3'!AS48</f>
        <v>0.13555854800685121</v>
      </c>
      <c r="F25" s="71" t="s">
        <v>338</v>
      </c>
    </row>
    <row r="26" spans="1:2" ht="12.75">
      <c r="A26" s="239" t="s">
        <v>218</v>
      </c>
      <c r="B26" s="240">
        <f>'1-Ф3'!AS46</f>
        <v>8080.9622206003405</v>
      </c>
    </row>
    <row r="27" spans="1:2" ht="12.75">
      <c r="A27" s="239" t="s">
        <v>219</v>
      </c>
      <c r="B27" s="249">
        <f>'1-Ф3'!B49</f>
        <v>5.123492371690606</v>
      </c>
    </row>
    <row r="28" spans="1:2" ht="12.75">
      <c r="A28" s="239" t="s">
        <v>220</v>
      </c>
      <c r="B28" s="249">
        <f>'1-Ф3'!B50</f>
        <v>9.374585384447544</v>
      </c>
    </row>
    <row r="30" ht="12.75">
      <c r="A30" s="250" t="s">
        <v>222</v>
      </c>
    </row>
    <row r="31" spans="1:7" ht="12.75">
      <c r="A31" s="243" t="s">
        <v>31</v>
      </c>
      <c r="B31" s="244">
        <v>2013</v>
      </c>
      <c r="C31" s="244">
        <v>2014</v>
      </c>
      <c r="D31" s="259">
        <v>2015</v>
      </c>
      <c r="E31" s="259">
        <v>2016</v>
      </c>
      <c r="F31" s="259">
        <v>2017</v>
      </c>
      <c r="G31" s="259">
        <v>2018</v>
      </c>
    </row>
    <row r="32" spans="1:7" ht="12.75">
      <c r="A32" s="239" t="s">
        <v>306</v>
      </c>
      <c r="B32" s="292">
        <f>Исх!C21</f>
        <v>15</v>
      </c>
      <c r="C32" s="293"/>
      <c r="D32" s="293"/>
      <c r="E32" s="293"/>
      <c r="F32" s="293"/>
      <c r="G32" s="294"/>
    </row>
    <row r="33" spans="1:7" ht="12.75">
      <c r="A33" s="239" t="s">
        <v>291</v>
      </c>
      <c r="B33" s="295">
        <f>Дох!D6</f>
        <v>0.7</v>
      </c>
      <c r="C33" s="296"/>
      <c r="D33" s="296"/>
      <c r="E33" s="296"/>
      <c r="F33" s="296"/>
      <c r="G33" s="297"/>
    </row>
    <row r="34" spans="1:7" ht="12.75">
      <c r="A34" s="239" t="s">
        <v>307</v>
      </c>
      <c r="B34" s="292">
        <f>Исх!C24</f>
        <v>5</v>
      </c>
      <c r="C34" s="293"/>
      <c r="D34" s="293"/>
      <c r="E34" s="293"/>
      <c r="F34" s="293"/>
      <c r="G34" s="294"/>
    </row>
    <row r="35" spans="1:7" ht="12.75">
      <c r="A35" s="239" t="s">
        <v>291</v>
      </c>
      <c r="B35" s="295">
        <f>Дох!D11</f>
        <v>0.5666666666666667</v>
      </c>
      <c r="C35" s="296"/>
      <c r="D35" s="296"/>
      <c r="E35" s="296"/>
      <c r="F35" s="296"/>
      <c r="G35" s="297"/>
    </row>
    <row r="36" spans="1:7" ht="12.75">
      <c r="A36" s="239" t="s">
        <v>308</v>
      </c>
      <c r="B36" s="240">
        <f>Дох!B18</f>
        <v>66</v>
      </c>
      <c r="C36" s="240">
        <f>Дох!E18</f>
        <v>69.3</v>
      </c>
      <c r="D36" s="240">
        <f>Дох!F18</f>
        <v>72.765</v>
      </c>
      <c r="E36" s="240">
        <f>Дох!G18</f>
        <v>76.40325</v>
      </c>
      <c r="F36" s="240">
        <f>Дох!H18</f>
        <v>80.22341250000001</v>
      </c>
      <c r="G36" s="240">
        <f>Дох!I18</f>
        <v>84.23458312500001</v>
      </c>
    </row>
    <row r="37" spans="1:7" ht="12.75">
      <c r="A37" s="239" t="s">
        <v>221</v>
      </c>
      <c r="B37" s="240">
        <f>'1-Ф3'!AC9</f>
        <v>105204</v>
      </c>
      <c r="C37" s="240">
        <f>'1-Ф3'!AD9</f>
        <v>105204.00000000001</v>
      </c>
      <c r="D37" s="240">
        <f>'1-Ф3'!AE9</f>
        <v>105976.20000000001</v>
      </c>
      <c r="E37" s="240">
        <f>'1-Ф3'!AF9</f>
        <v>106787.01000000001</v>
      </c>
      <c r="F37" s="240">
        <f>'1-Ф3'!AG9</f>
        <v>107638.36050000001</v>
      </c>
      <c r="G37" s="240">
        <f>'1-Ф3'!AH9</f>
        <v>108532.27852500002</v>
      </c>
    </row>
    <row r="39" ht="12.75">
      <c r="A39" s="250" t="s">
        <v>223</v>
      </c>
    </row>
    <row r="40" spans="1:14" ht="12.75">
      <c r="A40" s="299" t="s">
        <v>224</v>
      </c>
      <c r="B40" s="298">
        <v>2012</v>
      </c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59">
        <v>2013</v>
      </c>
    </row>
    <row r="41" spans="1:14" ht="12.75">
      <c r="A41" s="300"/>
      <c r="B41" s="244">
        <v>1</v>
      </c>
      <c r="C41" s="244">
        <v>2</v>
      </c>
      <c r="D41" s="259">
        <v>3</v>
      </c>
      <c r="E41" s="259">
        <v>4</v>
      </c>
      <c r="F41" s="259">
        <v>5</v>
      </c>
      <c r="G41" s="259">
        <v>6</v>
      </c>
      <c r="H41" s="259">
        <v>7</v>
      </c>
      <c r="I41" s="259">
        <v>8</v>
      </c>
      <c r="J41" s="259">
        <v>9</v>
      </c>
      <c r="K41" s="259">
        <v>10</v>
      </c>
      <c r="L41" s="259">
        <v>11</v>
      </c>
      <c r="M41" s="259">
        <v>12</v>
      </c>
      <c r="N41" s="259"/>
    </row>
    <row r="42" spans="1:14" ht="25.5">
      <c r="A42" s="251" t="s">
        <v>225</v>
      </c>
      <c r="B42" s="252"/>
      <c r="C42" s="252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</row>
    <row r="43" spans="1:14" ht="12.75">
      <c r="A43" s="251" t="s">
        <v>310</v>
      </c>
      <c r="B43" s="245"/>
      <c r="C43" s="245"/>
      <c r="D43" s="252"/>
      <c r="E43" s="252"/>
      <c r="F43" s="245"/>
      <c r="G43" s="245"/>
      <c r="H43" s="245"/>
      <c r="I43" s="245"/>
      <c r="J43" s="245"/>
      <c r="K43" s="245"/>
      <c r="L43" s="245"/>
      <c r="M43" s="245"/>
      <c r="N43" s="245"/>
    </row>
    <row r="44" spans="1:14" ht="12.75">
      <c r="A44" s="239" t="s">
        <v>226</v>
      </c>
      <c r="B44" s="240"/>
      <c r="C44" s="240"/>
      <c r="D44" s="240"/>
      <c r="E44" s="253"/>
      <c r="F44" s="253"/>
      <c r="G44" s="240"/>
      <c r="H44" s="240"/>
      <c r="I44" s="240"/>
      <c r="J44" s="240"/>
      <c r="K44" s="240"/>
      <c r="L44" s="240"/>
      <c r="M44" s="240"/>
      <c r="N44" s="240"/>
    </row>
    <row r="45" spans="1:14" ht="12.75">
      <c r="A45" s="239" t="s">
        <v>227</v>
      </c>
      <c r="B45" s="240"/>
      <c r="C45" s="240"/>
      <c r="D45" s="240"/>
      <c r="E45" s="240"/>
      <c r="F45" s="253"/>
      <c r="G45" s="253"/>
      <c r="H45" s="253"/>
      <c r="I45" s="253"/>
      <c r="J45" s="253"/>
      <c r="K45" s="253"/>
      <c r="L45" s="253"/>
      <c r="M45" s="253"/>
      <c r="N45" s="240"/>
    </row>
    <row r="46" spans="1:14" ht="12.75">
      <c r="A46" s="239" t="s">
        <v>311</v>
      </c>
      <c r="B46" s="240"/>
      <c r="C46" s="240"/>
      <c r="D46" s="240"/>
      <c r="E46" s="240"/>
      <c r="F46" s="253"/>
      <c r="G46" s="253"/>
      <c r="H46" s="253"/>
      <c r="I46" s="253"/>
      <c r="J46" s="253"/>
      <c r="K46" s="253"/>
      <c r="L46" s="240"/>
      <c r="M46" s="240"/>
      <c r="N46" s="240"/>
    </row>
    <row r="47" spans="1:14" ht="12.75">
      <c r="A47" s="239" t="s">
        <v>312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53"/>
      <c r="L47" s="253"/>
      <c r="M47" s="240"/>
      <c r="N47" s="240"/>
    </row>
    <row r="48" spans="1:14" ht="12.75">
      <c r="A48" s="239" t="s">
        <v>229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53"/>
      <c r="M48" s="253"/>
      <c r="N48" s="240"/>
    </row>
    <row r="49" spans="1:14" ht="12.75">
      <c r="A49" s="239" t="s">
        <v>313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53"/>
      <c r="N49" s="240"/>
    </row>
    <row r="50" spans="1:14" ht="12.75">
      <c r="A50" s="239" t="s">
        <v>228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53"/>
    </row>
    <row r="52" ht="12.75">
      <c r="A52" s="250" t="s">
        <v>305</v>
      </c>
    </row>
    <row r="54" spans="1:2" ht="12.75">
      <c r="A54" s="258" t="s">
        <v>238</v>
      </c>
      <c r="B54" s="253" t="s">
        <v>239</v>
      </c>
    </row>
    <row r="55" spans="1:2" ht="12.75">
      <c r="A55" s="239" t="s">
        <v>45</v>
      </c>
      <c r="B55" s="240">
        <f>'1-Ф3'!B17</f>
        <v>26615.614102165186</v>
      </c>
    </row>
    <row r="56" spans="1:2" ht="12.75">
      <c r="A56" s="239" t="s">
        <v>236</v>
      </c>
      <c r="B56" s="240">
        <f>'1-Ф3'!B16</f>
        <v>32669.090604561</v>
      </c>
    </row>
    <row r="57" spans="1:2" ht="12.75">
      <c r="A57" s="239" t="s">
        <v>309</v>
      </c>
      <c r="B57" s="240">
        <f>SUM(Пост!D26:I26)*12</f>
        <v>19203.97114285714</v>
      </c>
    </row>
    <row r="58" spans="1:2" ht="12.75">
      <c r="A58" s="239" t="s">
        <v>237</v>
      </c>
      <c r="B58" s="240">
        <f>(ФОТ!F28+ФОТ!G28+ФОТ!H28+ФОТ!I28)*12*6</f>
        <v>31888.1808</v>
      </c>
    </row>
    <row r="59" spans="1:2" ht="12.75">
      <c r="A59" s="241" t="s">
        <v>0</v>
      </c>
      <c r="B59" s="242">
        <f>SUM(B55:B58)</f>
        <v>110376.85664958332</v>
      </c>
    </row>
  </sheetData>
  <sheetProtection/>
  <mergeCells count="6">
    <mergeCell ref="B34:G34"/>
    <mergeCell ref="B35:G35"/>
    <mergeCell ref="B40:M40"/>
    <mergeCell ref="A40:A41"/>
    <mergeCell ref="B32:G32"/>
    <mergeCell ref="B33:G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&amp;RПриложение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FU33"/>
  <sheetViews>
    <sheetView showGridLines="0" showZeros="0" zoomScalePageLayoutView="0" workbookViewId="0" topLeftCell="A1">
      <pane xSplit="3" ySplit="4" topLeftCell="P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Q6" sqref="Q6:AB6"/>
    </sheetView>
  </sheetViews>
  <sheetFormatPr defaultColWidth="10.125" defaultRowHeight="12.75" outlineLevelCol="1"/>
  <cols>
    <col min="1" max="1" width="38.125" style="88" customWidth="1"/>
    <col min="2" max="2" width="11.375" style="88" customWidth="1"/>
    <col min="3" max="3" width="3.875" style="88" customWidth="1"/>
    <col min="4" max="4" width="7.125" style="88" hidden="1" customWidth="1" outlineLevel="1"/>
    <col min="5" max="5" width="8.25390625" style="88" hidden="1" customWidth="1" outlineLevel="1"/>
    <col min="6" max="11" width="7.00390625" style="88" hidden="1" customWidth="1" outlineLevel="1"/>
    <col min="12" max="12" width="8.75390625" style="88" hidden="1" customWidth="1" outlineLevel="1"/>
    <col min="13" max="13" width="7.875" style="88" hidden="1" customWidth="1" outlineLevel="1"/>
    <col min="14" max="15" width="8.625" style="88" hidden="1" customWidth="1" outlineLevel="1"/>
    <col min="16" max="16" width="9.125" style="88" customWidth="1" collapsed="1"/>
    <col min="17" max="28" width="8.375" style="88" hidden="1" customWidth="1" outlineLevel="1"/>
    <col min="29" max="29" width="9.125" style="88" customWidth="1" collapsed="1"/>
    <col min="30" max="30" width="9.125" style="88" customWidth="1"/>
    <col min="31" max="34" width="8.875" style="88" customWidth="1"/>
    <col min="35" max="16384" width="10.125" style="88" customWidth="1"/>
  </cols>
  <sheetData>
    <row r="1" spans="1:3" ht="21" customHeight="1">
      <c r="A1" s="62" t="s">
        <v>131</v>
      </c>
      <c r="B1" s="87"/>
      <c r="C1" s="87"/>
    </row>
    <row r="2" spans="1:3" ht="17.25" customHeight="1">
      <c r="A2" s="62"/>
      <c r="B2" s="12" t="str">
        <f>Исх!$C$9</f>
        <v>тыс.тг.</v>
      </c>
      <c r="C2" s="89"/>
    </row>
    <row r="3" spans="1:34" ht="12.75" customHeight="1">
      <c r="A3" s="273" t="s">
        <v>3</v>
      </c>
      <c r="B3" s="277" t="s">
        <v>1</v>
      </c>
      <c r="C3" s="93"/>
      <c r="D3" s="272">
        <v>2012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>
        <v>2013</v>
      </c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94">
        <v>2014</v>
      </c>
      <c r="AE3" s="94">
        <f>AD3+1</f>
        <v>2015</v>
      </c>
      <c r="AF3" s="94">
        <f>AE3+1</f>
        <v>2016</v>
      </c>
      <c r="AG3" s="94">
        <f>AF3+1</f>
        <v>2017</v>
      </c>
      <c r="AH3" s="94">
        <f>AG3+1</f>
        <v>2018</v>
      </c>
    </row>
    <row r="4" spans="1:34" ht="12.75">
      <c r="A4" s="274"/>
      <c r="B4" s="277"/>
      <c r="C4" s="95"/>
      <c r="D4" s="96">
        <v>1</v>
      </c>
      <c r="E4" s="96">
        <f aca="true" t="shared" si="0" ref="E4:O4">D4+1</f>
        <v>2</v>
      </c>
      <c r="F4" s="96">
        <f t="shared" si="0"/>
        <v>3</v>
      </c>
      <c r="G4" s="96">
        <f t="shared" si="0"/>
        <v>4</v>
      </c>
      <c r="H4" s="96">
        <f t="shared" si="0"/>
        <v>5</v>
      </c>
      <c r="I4" s="96">
        <f t="shared" si="0"/>
        <v>6</v>
      </c>
      <c r="J4" s="96">
        <f t="shared" si="0"/>
        <v>7</v>
      </c>
      <c r="K4" s="96">
        <f t="shared" si="0"/>
        <v>8</v>
      </c>
      <c r="L4" s="96">
        <f t="shared" si="0"/>
        <v>9</v>
      </c>
      <c r="M4" s="96">
        <f t="shared" si="0"/>
        <v>10</v>
      </c>
      <c r="N4" s="96">
        <f t="shared" si="0"/>
        <v>11</v>
      </c>
      <c r="O4" s="96">
        <f t="shared" si="0"/>
        <v>12</v>
      </c>
      <c r="P4" s="92" t="s">
        <v>0</v>
      </c>
      <c r="Q4" s="96">
        <v>1</v>
      </c>
      <c r="R4" s="96">
        <f aca="true" t="shared" si="1" ref="R4:AB4">Q4+1</f>
        <v>2</v>
      </c>
      <c r="S4" s="96">
        <f t="shared" si="1"/>
        <v>3</v>
      </c>
      <c r="T4" s="96">
        <f t="shared" si="1"/>
        <v>4</v>
      </c>
      <c r="U4" s="96">
        <f t="shared" si="1"/>
        <v>5</v>
      </c>
      <c r="V4" s="96">
        <f t="shared" si="1"/>
        <v>6</v>
      </c>
      <c r="W4" s="96">
        <f t="shared" si="1"/>
        <v>7</v>
      </c>
      <c r="X4" s="96">
        <f t="shared" si="1"/>
        <v>8</v>
      </c>
      <c r="Y4" s="96">
        <f t="shared" si="1"/>
        <v>9</v>
      </c>
      <c r="Z4" s="96">
        <f t="shared" si="1"/>
        <v>10</v>
      </c>
      <c r="AA4" s="96">
        <f t="shared" si="1"/>
        <v>11</v>
      </c>
      <c r="AB4" s="96">
        <f t="shared" si="1"/>
        <v>12</v>
      </c>
      <c r="AC4" s="92" t="s">
        <v>0</v>
      </c>
      <c r="AD4" s="92" t="s">
        <v>132</v>
      </c>
      <c r="AE4" s="92" t="s">
        <v>132</v>
      </c>
      <c r="AF4" s="92" t="s">
        <v>132</v>
      </c>
      <c r="AG4" s="92" t="s">
        <v>132</v>
      </c>
      <c r="AH4" s="92" t="s">
        <v>132</v>
      </c>
    </row>
    <row r="5" spans="1:35" s="89" customFormat="1" ht="15" customHeight="1">
      <c r="A5" s="97" t="s">
        <v>109</v>
      </c>
      <c r="B5" s="98">
        <f>P5+AC5+AD5+AE5+AF5+AG5+AH5</f>
        <v>570840.9366294643</v>
      </c>
      <c r="C5" s="99"/>
      <c r="D5" s="99">
        <f aca="true" t="shared" si="2" ref="D5:AH5">SUM(D6:D7)</f>
        <v>0</v>
      </c>
      <c r="E5" s="99">
        <f t="shared" si="2"/>
        <v>0</v>
      </c>
      <c r="F5" s="99">
        <f t="shared" si="2"/>
        <v>0</v>
      </c>
      <c r="G5" s="99">
        <f t="shared" si="2"/>
        <v>0</v>
      </c>
      <c r="H5" s="99">
        <f t="shared" si="2"/>
        <v>0</v>
      </c>
      <c r="I5" s="99">
        <f t="shared" si="2"/>
        <v>0</v>
      </c>
      <c r="J5" s="99">
        <f t="shared" si="2"/>
        <v>0</v>
      </c>
      <c r="K5" s="99">
        <f t="shared" si="2"/>
        <v>0</v>
      </c>
      <c r="L5" s="99">
        <f t="shared" si="2"/>
        <v>0</v>
      </c>
      <c r="M5" s="99">
        <f t="shared" si="2"/>
        <v>0</v>
      </c>
      <c r="N5" s="99">
        <f t="shared" si="2"/>
        <v>0</v>
      </c>
      <c r="O5" s="99">
        <f t="shared" si="2"/>
        <v>0</v>
      </c>
      <c r="P5" s="99">
        <f t="shared" si="2"/>
        <v>0</v>
      </c>
      <c r="Q5" s="99">
        <f t="shared" si="2"/>
        <v>5479.375</v>
      </c>
      <c r="R5" s="99">
        <f t="shared" si="2"/>
        <v>3913.8392857142853</v>
      </c>
      <c r="S5" s="99">
        <f t="shared" si="2"/>
        <v>4696.607142857142</v>
      </c>
      <c r="T5" s="99">
        <f t="shared" si="2"/>
        <v>4696.607142857142</v>
      </c>
      <c r="U5" s="99">
        <f t="shared" si="2"/>
        <v>6262.142857142857</v>
      </c>
      <c r="V5" s="99">
        <f t="shared" si="2"/>
        <v>10175.982142857143</v>
      </c>
      <c r="W5" s="99">
        <f t="shared" si="2"/>
        <v>12524.285714285714</v>
      </c>
      <c r="X5" s="99">
        <f t="shared" si="2"/>
        <v>12524.285714285714</v>
      </c>
      <c r="Y5" s="99">
        <f t="shared" si="2"/>
        <v>10958.75</v>
      </c>
      <c r="Z5" s="99">
        <f t="shared" si="2"/>
        <v>9393.214285714284</v>
      </c>
      <c r="AA5" s="99">
        <f t="shared" si="2"/>
        <v>6262.142857142857</v>
      </c>
      <c r="AB5" s="99">
        <f t="shared" si="2"/>
        <v>7044.910714285714</v>
      </c>
      <c r="AC5" s="99">
        <f t="shared" si="2"/>
        <v>93932.14285714286</v>
      </c>
      <c r="AD5" s="99">
        <f t="shared" si="2"/>
        <v>93932.14285714286</v>
      </c>
      <c r="AE5" s="99">
        <f t="shared" si="2"/>
        <v>94621.60714285714</v>
      </c>
      <c r="AF5" s="99">
        <f t="shared" si="2"/>
        <v>95345.54464285714</v>
      </c>
      <c r="AG5" s="99">
        <f t="shared" si="2"/>
        <v>96105.67901785714</v>
      </c>
      <c r="AH5" s="99">
        <f t="shared" si="2"/>
        <v>96903.82011160714</v>
      </c>
      <c r="AI5" s="100"/>
    </row>
    <row r="6" spans="1:35" s="89" customFormat="1" ht="12.75">
      <c r="A6" s="101" t="s">
        <v>300</v>
      </c>
      <c r="B6" s="98">
        <f aca="true" t="shared" si="3" ref="B6:B17">P6+AC6+AD6+AE6+AF6+AG6+AH6</f>
        <v>480857.1428571429</v>
      </c>
      <c r="C6" s="99"/>
      <c r="D6" s="102"/>
      <c r="E6" s="102"/>
      <c r="F6" s="102"/>
      <c r="G6" s="102">
        <f>Дох!$C$5*'2-ф2'!G20</f>
        <v>0</v>
      </c>
      <c r="H6" s="102">
        <f>Дох!$C$5*'2-ф2'!H20</f>
        <v>0</v>
      </c>
      <c r="I6" s="102">
        <f>Дох!$C$5*'2-ф2'!I20</f>
        <v>0</v>
      </c>
      <c r="J6" s="102">
        <f>Дох!$C$5*'2-ф2'!J20</f>
        <v>0</v>
      </c>
      <c r="K6" s="102">
        <f>Дох!$C$5*'2-ф2'!K20</f>
        <v>0</v>
      </c>
      <c r="L6" s="102">
        <f>Дох!$C$5*'2-ф2'!L20</f>
        <v>0</v>
      </c>
      <c r="M6" s="102">
        <f>Дох!$C$5*'2-ф2'!M20</f>
        <v>0</v>
      </c>
      <c r="N6" s="102">
        <f>Дох!$C$5*'2-ф2'!N20</f>
        <v>0</v>
      </c>
      <c r="O6" s="102">
        <f>Дох!$C$5*'2-ф2'!O20</f>
        <v>0</v>
      </c>
      <c r="P6" s="99">
        <f>SUM(D6:O6)</f>
        <v>0</v>
      </c>
      <c r="Q6" s="102">
        <f>Дох!$D$5*Исх!B37</f>
        <v>4675</v>
      </c>
      <c r="R6" s="102">
        <f>Дох!$D$5*Исх!C37</f>
        <v>3339.285714285714</v>
      </c>
      <c r="S6" s="102">
        <f>Дох!$D$5*Исх!D37</f>
        <v>4007.142857142857</v>
      </c>
      <c r="T6" s="102">
        <f>Дох!$D$5*Исх!E37</f>
        <v>4007.142857142857</v>
      </c>
      <c r="U6" s="102">
        <f>Дох!$D$5*Исх!F37</f>
        <v>5342.857142857143</v>
      </c>
      <c r="V6" s="102">
        <f>Дох!$D$5*Исх!G37</f>
        <v>8682.142857142857</v>
      </c>
      <c r="W6" s="102">
        <f>Дох!$D$5*Исх!H37</f>
        <v>10685.714285714286</v>
      </c>
      <c r="X6" s="102">
        <f>Дох!$D$5*Исх!I37</f>
        <v>10685.714285714286</v>
      </c>
      <c r="Y6" s="102">
        <f>Дох!$D$5*Исх!J37</f>
        <v>9350</v>
      </c>
      <c r="Z6" s="102">
        <f>Дох!$D$5*Исх!K37</f>
        <v>8014.285714285714</v>
      </c>
      <c r="AA6" s="102">
        <f>Дох!$D$5*Исх!L37</f>
        <v>5342.857142857143</v>
      </c>
      <c r="AB6" s="102">
        <f>Дох!$D$5*Исх!M37</f>
        <v>6010.714285714285</v>
      </c>
      <c r="AC6" s="99">
        <f>SUM(Q6:AB6)</f>
        <v>80142.85714285714</v>
      </c>
      <c r="AD6" s="102">
        <f>Дох!E5*12</f>
        <v>80142.85714285714</v>
      </c>
      <c r="AE6" s="102">
        <f>Дох!F5*12</f>
        <v>80142.85714285714</v>
      </c>
      <c r="AF6" s="102">
        <f>Дох!G5*12</f>
        <v>80142.85714285714</v>
      </c>
      <c r="AG6" s="102">
        <f>Дох!H5*12</f>
        <v>80142.85714285714</v>
      </c>
      <c r="AH6" s="102">
        <f>Дох!I5*12</f>
        <v>80142.85714285714</v>
      </c>
      <c r="AI6" s="100"/>
    </row>
    <row r="7" spans="1:35" s="89" customFormat="1" ht="12.75">
      <c r="A7" s="101" t="s">
        <v>301</v>
      </c>
      <c r="B7" s="98">
        <f t="shared" si="3"/>
        <v>89983.79377232141</v>
      </c>
      <c r="C7" s="99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99">
        <f>SUM(D7:O7)</f>
        <v>0</v>
      </c>
      <c r="Q7" s="102">
        <f>Дох!$D$16*Исх!B38</f>
        <v>804.3749999999998</v>
      </c>
      <c r="R7" s="102">
        <f>Дох!$D$16*Исх!C38</f>
        <v>574.5535714285713</v>
      </c>
      <c r="S7" s="102">
        <f>Дох!$D$16*Исх!D38</f>
        <v>689.4642857142856</v>
      </c>
      <c r="T7" s="102">
        <f>Дох!$D$16*Исх!E38</f>
        <v>689.4642857142856</v>
      </c>
      <c r="U7" s="102">
        <f>Дох!$D$16*Исх!F38</f>
        <v>919.2857142857142</v>
      </c>
      <c r="V7" s="102">
        <f>Дох!$D$16*Исх!G38</f>
        <v>1493.8392857142856</v>
      </c>
      <c r="W7" s="102">
        <f>Дох!$D$16*Исх!H38</f>
        <v>1838.5714285714284</v>
      </c>
      <c r="X7" s="102">
        <f>Дох!$D$16*Исх!I38</f>
        <v>1838.5714285714284</v>
      </c>
      <c r="Y7" s="102">
        <f>Дох!$D$16*Исх!J38</f>
        <v>1608.7499999999995</v>
      </c>
      <c r="Z7" s="102">
        <f>Дох!$D$16*Исх!K38</f>
        <v>1378.928571428571</v>
      </c>
      <c r="AA7" s="102">
        <f>Дох!$D$16*Исх!L38</f>
        <v>919.2857142857142</v>
      </c>
      <c r="AB7" s="102">
        <f>Дох!$D$16*Исх!M38</f>
        <v>1034.1964285714284</v>
      </c>
      <c r="AC7" s="99">
        <f>SUM(Q7:AB7)</f>
        <v>13789.285714285714</v>
      </c>
      <c r="AD7" s="102">
        <f>Дох!D16*12</f>
        <v>13789.285714285712</v>
      </c>
      <c r="AE7" s="102">
        <f>Дох!E16*12</f>
        <v>14478.749999999996</v>
      </c>
      <c r="AF7" s="102">
        <f>Дох!F16*12</f>
        <v>15202.687499999996</v>
      </c>
      <c r="AG7" s="102">
        <f>Дох!G16*12</f>
        <v>15962.821874999998</v>
      </c>
      <c r="AH7" s="102">
        <f>Дох!H16*12</f>
        <v>16760.962968750002</v>
      </c>
      <c r="AI7" s="100"/>
    </row>
    <row r="8" spans="1:34" ht="15" customHeight="1">
      <c r="A8" s="97" t="s">
        <v>110</v>
      </c>
      <c r="B8" s="98">
        <f t="shared" si="3"/>
        <v>46896.7595876116</v>
      </c>
      <c r="C8" s="99"/>
      <c r="D8" s="99">
        <f aca="true" t="shared" si="4" ref="D8:AH8">SUM(D9:D10)</f>
        <v>0</v>
      </c>
      <c r="E8" s="99">
        <f t="shared" si="4"/>
        <v>0</v>
      </c>
      <c r="F8" s="99">
        <f t="shared" si="4"/>
        <v>0</v>
      </c>
      <c r="G8" s="99">
        <f t="shared" si="4"/>
        <v>0</v>
      </c>
      <c r="H8" s="99">
        <f t="shared" si="4"/>
        <v>0</v>
      </c>
      <c r="I8" s="99">
        <f t="shared" si="4"/>
        <v>0</v>
      </c>
      <c r="J8" s="99">
        <f t="shared" si="4"/>
        <v>0</v>
      </c>
      <c r="K8" s="99">
        <f t="shared" si="4"/>
        <v>0</v>
      </c>
      <c r="L8" s="99">
        <f t="shared" si="4"/>
        <v>0</v>
      </c>
      <c r="M8" s="99">
        <f t="shared" si="4"/>
        <v>0</v>
      </c>
      <c r="N8" s="99">
        <f t="shared" si="4"/>
        <v>0</v>
      </c>
      <c r="O8" s="99">
        <f t="shared" si="4"/>
        <v>0</v>
      </c>
      <c r="P8" s="99">
        <f t="shared" si="4"/>
        <v>0</v>
      </c>
      <c r="Q8" s="99">
        <f t="shared" si="4"/>
        <v>574.5535714285713</v>
      </c>
      <c r="R8" s="99">
        <f t="shared" si="4"/>
        <v>574.5535714285713</v>
      </c>
      <c r="S8" s="99">
        <f t="shared" si="4"/>
        <v>574.5535714285713</v>
      </c>
      <c r="T8" s="99">
        <f t="shared" si="4"/>
        <v>574.5535714285713</v>
      </c>
      <c r="U8" s="99">
        <f t="shared" si="4"/>
        <v>574.5535714285713</v>
      </c>
      <c r="V8" s="99">
        <f t="shared" si="4"/>
        <v>574.5535714285713</v>
      </c>
      <c r="W8" s="99">
        <f t="shared" si="4"/>
        <v>574.5535714285713</v>
      </c>
      <c r="X8" s="99">
        <f t="shared" si="4"/>
        <v>574.5535714285713</v>
      </c>
      <c r="Y8" s="99">
        <f t="shared" si="4"/>
        <v>574.5535714285713</v>
      </c>
      <c r="Z8" s="99">
        <f t="shared" si="4"/>
        <v>574.5535714285713</v>
      </c>
      <c r="AA8" s="99">
        <f t="shared" si="4"/>
        <v>574.5535714285713</v>
      </c>
      <c r="AB8" s="99">
        <f t="shared" si="4"/>
        <v>574.5535714285713</v>
      </c>
      <c r="AC8" s="99">
        <f t="shared" si="4"/>
        <v>6894.642857142858</v>
      </c>
      <c r="AD8" s="99">
        <f t="shared" si="4"/>
        <v>7239.374999999998</v>
      </c>
      <c r="AE8" s="99">
        <f t="shared" si="4"/>
        <v>7601.343749999998</v>
      </c>
      <c r="AF8" s="99">
        <f t="shared" si="4"/>
        <v>7981.410937499999</v>
      </c>
      <c r="AG8" s="99">
        <f t="shared" si="4"/>
        <v>8380.481484375001</v>
      </c>
      <c r="AH8" s="99">
        <f t="shared" si="4"/>
        <v>8799.50555859375</v>
      </c>
    </row>
    <row r="9" spans="1:34" ht="12.75">
      <c r="A9" s="101" t="s">
        <v>174</v>
      </c>
      <c r="B9" s="98">
        <f t="shared" si="3"/>
        <v>46896.7595876116</v>
      </c>
      <c r="C9" s="99"/>
      <c r="D9" s="102"/>
      <c r="E9" s="102"/>
      <c r="F9" s="102"/>
      <c r="G9" s="102">
        <f>'Расх перем'!$B$6*'2-ф2'!G20</f>
        <v>0</v>
      </c>
      <c r="H9" s="102">
        <f>'Расх перем'!$B$6*'2-ф2'!H20</f>
        <v>0</v>
      </c>
      <c r="I9" s="102">
        <f>'Расх перем'!$B$6*'2-ф2'!I20</f>
        <v>0</v>
      </c>
      <c r="J9" s="102">
        <f>'Расх перем'!$B$6*'2-ф2'!J20</f>
        <v>0</v>
      </c>
      <c r="K9" s="102">
        <f>'Расх перем'!$B$6*'2-ф2'!K20</f>
        <v>0</v>
      </c>
      <c r="L9" s="102">
        <f>'Расх перем'!$B$6*'2-ф2'!L20</f>
        <v>0</v>
      </c>
      <c r="M9" s="102">
        <f>'Расх перем'!$B$6*'2-ф2'!M20</f>
        <v>0</v>
      </c>
      <c r="N9" s="102">
        <f>'Расх перем'!$B$6*'2-ф2'!N20</f>
        <v>0</v>
      </c>
      <c r="O9" s="102">
        <f>'Расх перем'!$B$6*'2-ф2'!O20</f>
        <v>0</v>
      </c>
      <c r="P9" s="99">
        <f>SUM(D9:O9)</f>
        <v>0</v>
      </c>
      <c r="Q9" s="102">
        <f>'Расх перем'!$C$5</f>
        <v>574.5535714285713</v>
      </c>
      <c r="R9" s="102">
        <f>'Расх перем'!$C$5</f>
        <v>574.5535714285713</v>
      </c>
      <c r="S9" s="102">
        <f>'Расх перем'!$C$5</f>
        <v>574.5535714285713</v>
      </c>
      <c r="T9" s="102">
        <f>'Расх перем'!$C$5</f>
        <v>574.5535714285713</v>
      </c>
      <c r="U9" s="102">
        <f>'Расх перем'!$C$5</f>
        <v>574.5535714285713</v>
      </c>
      <c r="V9" s="102">
        <f>'Расх перем'!$C$5</f>
        <v>574.5535714285713</v>
      </c>
      <c r="W9" s="102">
        <f>'Расх перем'!$C$5</f>
        <v>574.5535714285713</v>
      </c>
      <c r="X9" s="102">
        <f>'Расх перем'!$C$5</f>
        <v>574.5535714285713</v>
      </c>
      <c r="Y9" s="102">
        <f>'Расх перем'!$C$5</f>
        <v>574.5535714285713</v>
      </c>
      <c r="Z9" s="102">
        <f>'Расх перем'!$C$5</f>
        <v>574.5535714285713</v>
      </c>
      <c r="AA9" s="102">
        <f>'Расх перем'!$C$5</f>
        <v>574.5535714285713</v>
      </c>
      <c r="AB9" s="102">
        <f>'Расх перем'!$C$5</f>
        <v>574.5535714285713</v>
      </c>
      <c r="AC9" s="99">
        <f>SUM(Q9:AB9)</f>
        <v>6894.642857142858</v>
      </c>
      <c r="AD9" s="102">
        <f>'Расх перем'!D5*12</f>
        <v>7239.374999999998</v>
      </c>
      <c r="AE9" s="102">
        <f>'Расх перем'!E5*12</f>
        <v>7601.343749999998</v>
      </c>
      <c r="AF9" s="102">
        <f>'Расх перем'!F5*12</f>
        <v>7981.410937499999</v>
      </c>
      <c r="AG9" s="102">
        <f>'Расх перем'!G5*12</f>
        <v>8380.481484375001</v>
      </c>
      <c r="AH9" s="102">
        <f>'Расх перем'!H5*12</f>
        <v>8799.50555859375</v>
      </c>
    </row>
    <row r="10" spans="1:34" ht="3.75" customHeight="1">
      <c r="A10" s="101"/>
      <c r="B10" s="98">
        <f t="shared" si="3"/>
        <v>0</v>
      </c>
      <c r="C10" s="99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99">
        <f>SUM(D10:O10)</f>
        <v>0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99">
        <f>SUM(Q10:AB10)</f>
        <v>0</v>
      </c>
      <c r="AD10" s="102"/>
      <c r="AE10" s="102"/>
      <c r="AF10" s="102"/>
      <c r="AG10" s="102"/>
      <c r="AH10" s="102"/>
    </row>
    <row r="11" spans="1:34" s="89" customFormat="1" ht="15" customHeight="1">
      <c r="A11" s="97" t="s">
        <v>18</v>
      </c>
      <c r="B11" s="98">
        <f t="shared" si="3"/>
        <v>523944.17704185273</v>
      </c>
      <c r="C11" s="103"/>
      <c r="D11" s="99">
        <f aca="true" t="shared" si="5" ref="D11:AH11">D5-D8</f>
        <v>0</v>
      </c>
      <c r="E11" s="99">
        <f t="shared" si="5"/>
        <v>0</v>
      </c>
      <c r="F11" s="99">
        <f t="shared" si="5"/>
        <v>0</v>
      </c>
      <c r="G11" s="99">
        <f t="shared" si="5"/>
        <v>0</v>
      </c>
      <c r="H11" s="99">
        <f t="shared" si="5"/>
        <v>0</v>
      </c>
      <c r="I11" s="99">
        <f t="shared" si="5"/>
        <v>0</v>
      </c>
      <c r="J11" s="99">
        <f t="shared" si="5"/>
        <v>0</v>
      </c>
      <c r="K11" s="99">
        <f t="shared" si="5"/>
        <v>0</v>
      </c>
      <c r="L11" s="99">
        <f t="shared" si="5"/>
        <v>0</v>
      </c>
      <c r="M11" s="99">
        <f t="shared" si="5"/>
        <v>0</v>
      </c>
      <c r="N11" s="99">
        <f t="shared" si="5"/>
        <v>0</v>
      </c>
      <c r="O11" s="99">
        <f t="shared" si="5"/>
        <v>0</v>
      </c>
      <c r="P11" s="99">
        <f t="shared" si="5"/>
        <v>0</v>
      </c>
      <c r="Q11" s="99">
        <f t="shared" si="5"/>
        <v>4904.821428571428</v>
      </c>
      <c r="R11" s="99">
        <f t="shared" si="5"/>
        <v>3339.2857142857138</v>
      </c>
      <c r="S11" s="99">
        <f t="shared" si="5"/>
        <v>4122.053571428571</v>
      </c>
      <c r="T11" s="99">
        <f t="shared" si="5"/>
        <v>4122.053571428571</v>
      </c>
      <c r="U11" s="99">
        <f t="shared" si="5"/>
        <v>5687.589285714285</v>
      </c>
      <c r="V11" s="99">
        <f t="shared" si="5"/>
        <v>9601.428571428572</v>
      </c>
      <c r="W11" s="99">
        <f t="shared" si="5"/>
        <v>11949.732142857143</v>
      </c>
      <c r="X11" s="99">
        <f t="shared" si="5"/>
        <v>11949.732142857143</v>
      </c>
      <c r="Y11" s="99">
        <f t="shared" si="5"/>
        <v>10384.19642857143</v>
      </c>
      <c r="Z11" s="99">
        <f t="shared" si="5"/>
        <v>8818.660714285714</v>
      </c>
      <c r="AA11" s="99">
        <f t="shared" si="5"/>
        <v>5687.589285714285</v>
      </c>
      <c r="AB11" s="99">
        <f t="shared" si="5"/>
        <v>6470.357142857142</v>
      </c>
      <c r="AC11" s="99">
        <f t="shared" si="5"/>
        <v>87037.5</v>
      </c>
      <c r="AD11" s="99">
        <f t="shared" si="5"/>
        <v>86692.76785714286</v>
      </c>
      <c r="AE11" s="99">
        <f t="shared" si="5"/>
        <v>87020.26339285714</v>
      </c>
      <c r="AF11" s="99">
        <f t="shared" si="5"/>
        <v>87364.13370535715</v>
      </c>
      <c r="AG11" s="99">
        <f t="shared" si="5"/>
        <v>87725.19753348213</v>
      </c>
      <c r="AH11" s="99">
        <f t="shared" si="5"/>
        <v>88104.31455301339</v>
      </c>
    </row>
    <row r="12" spans="1:34" ht="15" customHeight="1">
      <c r="A12" s="104" t="s">
        <v>175</v>
      </c>
      <c r="B12" s="98">
        <f t="shared" si="3"/>
        <v>193222.84330285713</v>
      </c>
      <c r="C12" s="99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99">
        <f aca="true" t="shared" si="6" ref="P12:P17">SUM(D12:O12)</f>
        <v>0</v>
      </c>
      <c r="Q12" s="102">
        <f>Пост!$D$21+Пост!$D$23+Пост!$D$26</f>
        <v>2726.6222978571427</v>
      </c>
      <c r="R12" s="102">
        <f>Пост!$D$21+Пост!$D$23+Пост!$D$26</f>
        <v>2726.6222978571427</v>
      </c>
      <c r="S12" s="102">
        <f>Пост!$D$21+Пост!$D$23+Пост!$D$26</f>
        <v>2726.6222978571427</v>
      </c>
      <c r="T12" s="102">
        <f>Пост!$D$21+Пост!$D$23+Пост!$D$26</f>
        <v>2726.6222978571427</v>
      </c>
      <c r="U12" s="102">
        <f>Пост!$D$21+Пост!$D$23+Пост!$D$26</f>
        <v>2726.6222978571427</v>
      </c>
      <c r="V12" s="102">
        <f>Пост!$D$21+Пост!$D$23+Пост!$D$26</f>
        <v>2726.6222978571427</v>
      </c>
      <c r="W12" s="102">
        <f>Пост!$D$21+Пост!$D$23+Пост!$D$26</f>
        <v>2726.6222978571427</v>
      </c>
      <c r="X12" s="102">
        <f>Пост!$D$21+Пост!$D$23+Пост!$D$26</f>
        <v>2726.6222978571427</v>
      </c>
      <c r="Y12" s="102">
        <f>Пост!$D$21+Пост!$D$23+Пост!$D$26</f>
        <v>2726.6222978571427</v>
      </c>
      <c r="Z12" s="102">
        <f>Пост!$D$21+Пост!$D$23+Пост!$D$26</f>
        <v>2726.6222978571427</v>
      </c>
      <c r="AA12" s="102">
        <f>Пост!$D$21+Пост!$D$23+Пост!$D$26</f>
        <v>2726.6222978571427</v>
      </c>
      <c r="AB12" s="102">
        <f>Пост!$D$21+Пост!$D$23+Пост!$D$26</f>
        <v>2726.6222978571427</v>
      </c>
      <c r="AC12" s="99">
        <f aca="true" t="shared" si="7" ref="AC12:AC17">SUM(Q12:AB12)</f>
        <v>32719.46757428571</v>
      </c>
      <c r="AD12" s="102">
        <f>(Пост!E21+Пост!E23+Пост!E26)*12</f>
        <v>32513.20343142857</v>
      </c>
      <c r="AE12" s="102">
        <f>(Пост!F21+Пост!F23+Пост!F26)*12</f>
        <v>32306.939288571426</v>
      </c>
      <c r="AF12" s="102">
        <f>(Пост!G21+Пост!G23+Пост!G26)*12</f>
        <v>32100.675145714282</v>
      </c>
      <c r="AG12" s="102">
        <f>(Пост!H21+Пост!H23+Пост!H26)*12</f>
        <v>31894.41100285714</v>
      </c>
      <c r="AH12" s="102">
        <f>(Пост!I21+Пост!I23+Пост!I26)*12</f>
        <v>31688.146859999997</v>
      </c>
    </row>
    <row r="13" spans="1:34" ht="15" customHeight="1">
      <c r="A13" s="104" t="s">
        <v>84</v>
      </c>
      <c r="B13" s="98">
        <f t="shared" si="3"/>
        <v>82505.65714285713</v>
      </c>
      <c r="C13" s="99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99">
        <f t="shared" si="6"/>
        <v>0</v>
      </c>
      <c r="Q13" s="102">
        <f>Пост!$D$36/12</f>
        <v>1145.9119047619047</v>
      </c>
      <c r="R13" s="102">
        <f>Пост!$D$36/12</f>
        <v>1145.9119047619047</v>
      </c>
      <c r="S13" s="102">
        <f>Пост!$D$36/12</f>
        <v>1145.9119047619047</v>
      </c>
      <c r="T13" s="102">
        <f>Пост!$D$36/12</f>
        <v>1145.9119047619047</v>
      </c>
      <c r="U13" s="102">
        <f>Пост!$D$36/12</f>
        <v>1145.9119047619047</v>
      </c>
      <c r="V13" s="102">
        <f>Пост!$D$36/12</f>
        <v>1145.9119047619047</v>
      </c>
      <c r="W13" s="102">
        <f>Пост!$D$36/12</f>
        <v>1145.9119047619047</v>
      </c>
      <c r="X13" s="102">
        <f>Пост!$D$36/12</f>
        <v>1145.9119047619047</v>
      </c>
      <c r="Y13" s="102">
        <f>Пост!$D$36/12</f>
        <v>1145.9119047619047</v>
      </c>
      <c r="Z13" s="102">
        <f>Пост!$D$36/12</f>
        <v>1145.9119047619047</v>
      </c>
      <c r="AA13" s="102">
        <f>Пост!$D$36/12</f>
        <v>1145.9119047619047</v>
      </c>
      <c r="AB13" s="102">
        <f>Пост!$D$36/12</f>
        <v>1145.9119047619047</v>
      </c>
      <c r="AC13" s="99">
        <f t="shared" si="7"/>
        <v>13750.942857142853</v>
      </c>
      <c r="AD13" s="102">
        <f>Пост!E36</f>
        <v>13750.942857142856</v>
      </c>
      <c r="AE13" s="102">
        <f>Пост!F36</f>
        <v>13750.942857142856</v>
      </c>
      <c r="AF13" s="102">
        <f>Пост!G36</f>
        <v>13750.942857142856</v>
      </c>
      <c r="AG13" s="102">
        <f>Пост!H36</f>
        <v>13750.942857142856</v>
      </c>
      <c r="AH13" s="102">
        <f>Пост!I36</f>
        <v>13750.942857142856</v>
      </c>
    </row>
    <row r="14" spans="1:34" ht="15" customHeight="1">
      <c r="A14" s="104" t="s">
        <v>29</v>
      </c>
      <c r="B14" s="98">
        <f t="shared" si="3"/>
        <v>84870.22357333344</v>
      </c>
      <c r="C14" s="99"/>
      <c r="D14" s="102">
        <f>кр!C9</f>
        <v>0</v>
      </c>
      <c r="E14" s="102">
        <f>кр!D9</f>
        <v>0</v>
      </c>
      <c r="F14" s="102">
        <f>кр!E9</f>
        <v>0</v>
      </c>
      <c r="G14" s="102">
        <f>кр!F9</f>
        <v>0</v>
      </c>
      <c r="H14" s="102">
        <f>кр!G9</f>
        <v>0</v>
      </c>
      <c r="I14" s="102">
        <f>кр!H9</f>
        <v>226.72284444444446</v>
      </c>
      <c r="J14" s="102">
        <f>кр!I9</f>
        <v>453.4456888888889</v>
      </c>
      <c r="K14" s="102">
        <f>кр!J9</f>
        <v>680.1685333333334</v>
      </c>
      <c r="L14" s="102">
        <f>кр!K9</f>
        <v>906.8913777777778</v>
      </c>
      <c r="M14" s="102">
        <f>кр!L9</f>
        <v>1133.6142222222222</v>
      </c>
      <c r="N14" s="102">
        <f>кр!M9</f>
        <v>1598.3960533333332</v>
      </c>
      <c r="O14" s="102">
        <f>кр!N9</f>
        <v>1916.37824</v>
      </c>
      <c r="P14" s="99">
        <f t="shared" si="6"/>
        <v>6915.616959999999</v>
      </c>
      <c r="Q14" s="102">
        <f>кр!P9</f>
        <v>2077.9681066666667</v>
      </c>
      <c r="R14" s="102">
        <f>кр!Q9</f>
        <v>2167.9039573333334</v>
      </c>
      <c r="S14" s="102">
        <f>кр!R9</f>
        <v>2136.4850594009663</v>
      </c>
      <c r="T14" s="102">
        <f>кр!S9</f>
        <v>2105.066161468599</v>
      </c>
      <c r="U14" s="102">
        <f>кр!T9</f>
        <v>2073.647263536232</v>
      </c>
      <c r="V14" s="102">
        <f>кр!U9</f>
        <v>2042.2283656038653</v>
      </c>
      <c r="W14" s="102">
        <f>кр!V9</f>
        <v>2010.8094676714982</v>
      </c>
      <c r="X14" s="102">
        <f>кр!W9</f>
        <v>1979.390569739131</v>
      </c>
      <c r="Y14" s="102">
        <f>кр!X9</f>
        <v>1947.9716718067639</v>
      </c>
      <c r="Z14" s="102">
        <f>кр!Y9</f>
        <v>1916.5527738743967</v>
      </c>
      <c r="AA14" s="102">
        <f>кр!Z9</f>
        <v>1885.1338759420296</v>
      </c>
      <c r="AB14" s="102">
        <f>кр!AA9</f>
        <v>1853.7149780096624</v>
      </c>
      <c r="AC14" s="99">
        <f t="shared" si="7"/>
        <v>24196.872251053144</v>
      </c>
      <c r="AD14" s="102">
        <f>кр!AO9</f>
        <v>19793.905697391314</v>
      </c>
      <c r="AE14" s="102">
        <f>кр!BB9</f>
        <v>15269.584395130452</v>
      </c>
      <c r="AF14" s="102">
        <f>кр!BO9</f>
        <v>10745.263092869589</v>
      </c>
      <c r="AG14" s="102">
        <f>кр!CB9</f>
        <v>6220.94179060872</v>
      </c>
      <c r="AH14" s="102">
        <f>кр!CO9</f>
        <v>1728.0393862802175</v>
      </c>
    </row>
    <row r="15" spans="1:34" ht="15" customHeight="1">
      <c r="A15" s="104" t="s">
        <v>37</v>
      </c>
      <c r="B15" s="98">
        <f t="shared" si="3"/>
        <v>163345.45302280498</v>
      </c>
      <c r="C15" s="103"/>
      <c r="D15" s="102">
        <f>D11-D12-D14-D13</f>
        <v>0</v>
      </c>
      <c r="E15" s="102">
        <f aca="true" t="shared" si="8" ref="E15:O15">E11-E12-E14-E13</f>
        <v>0</v>
      </c>
      <c r="F15" s="102">
        <f t="shared" si="8"/>
        <v>0</v>
      </c>
      <c r="G15" s="102">
        <f t="shared" si="8"/>
        <v>0</v>
      </c>
      <c r="H15" s="102">
        <f t="shared" si="8"/>
        <v>0</v>
      </c>
      <c r="I15" s="102">
        <f t="shared" si="8"/>
        <v>-226.72284444444446</v>
      </c>
      <c r="J15" s="102">
        <f t="shared" si="8"/>
        <v>-453.4456888888889</v>
      </c>
      <c r="K15" s="102">
        <f t="shared" si="8"/>
        <v>-680.1685333333334</v>
      </c>
      <c r="L15" s="102">
        <f t="shared" si="8"/>
        <v>-906.8913777777778</v>
      </c>
      <c r="M15" s="102">
        <f t="shared" si="8"/>
        <v>-1133.6142222222222</v>
      </c>
      <c r="N15" s="102">
        <f t="shared" si="8"/>
        <v>-1598.3960533333332</v>
      </c>
      <c r="O15" s="102">
        <f t="shared" si="8"/>
        <v>-1916.37824</v>
      </c>
      <c r="P15" s="99">
        <f t="shared" si="6"/>
        <v>-6915.616959999999</v>
      </c>
      <c r="Q15" s="102">
        <f aca="true" t="shared" si="9" ref="Q15:AB15">Q11-Q12-Q14-Q13</f>
        <v>-1045.6808807142856</v>
      </c>
      <c r="R15" s="102">
        <f t="shared" si="9"/>
        <v>-2701.152445666667</v>
      </c>
      <c r="S15" s="102">
        <f t="shared" si="9"/>
        <v>-1886.965690591443</v>
      </c>
      <c r="T15" s="102">
        <f t="shared" si="9"/>
        <v>-1855.546792659076</v>
      </c>
      <c r="U15" s="102">
        <f t="shared" si="9"/>
        <v>-258.59218044099407</v>
      </c>
      <c r="V15" s="102">
        <f t="shared" si="9"/>
        <v>3686.66600320566</v>
      </c>
      <c r="W15" s="102">
        <f t="shared" si="9"/>
        <v>6066.388472566598</v>
      </c>
      <c r="X15" s="102">
        <f t="shared" si="9"/>
        <v>6097.807370498966</v>
      </c>
      <c r="Y15" s="102">
        <f t="shared" si="9"/>
        <v>4563.690554145618</v>
      </c>
      <c r="Z15" s="102">
        <f t="shared" si="9"/>
        <v>3029.57373779227</v>
      </c>
      <c r="AA15" s="102">
        <f t="shared" si="9"/>
        <v>-70.07879284679166</v>
      </c>
      <c r="AB15" s="102">
        <f t="shared" si="9"/>
        <v>744.1079622284324</v>
      </c>
      <c r="AC15" s="99">
        <f t="shared" si="7"/>
        <v>16370.217317518289</v>
      </c>
      <c r="AD15" s="102">
        <f>AD11-AD12-AD14-AD13</f>
        <v>20634.715871180117</v>
      </c>
      <c r="AE15" s="102">
        <f>AE11-AE12-AE14-AE13</f>
        <v>25692.796852012412</v>
      </c>
      <c r="AF15" s="102">
        <f>AF11-AF12-AF14-AF13</f>
        <v>30767.25260963042</v>
      </c>
      <c r="AG15" s="102">
        <f>AG11-AG12-AG14-AG13</f>
        <v>35858.90188287341</v>
      </c>
      <c r="AH15" s="102">
        <f>AH11-AH12-AH14-AH13</f>
        <v>40937.185449590324</v>
      </c>
    </row>
    <row r="16" spans="1:34" ht="15" customHeight="1">
      <c r="A16" s="104" t="s">
        <v>30</v>
      </c>
      <c r="B16" s="98">
        <f t="shared" si="3"/>
        <v>32669.090604561</v>
      </c>
      <c r="C16" s="99"/>
      <c r="D16" s="102">
        <f>IF(D15+C18&lt;0,0,IF(C18&lt;0,(C18+D15)*Исх!$C$19,D15*Исх!$C$19))</f>
        <v>0</v>
      </c>
      <c r="E16" s="102">
        <f>IF(E15+D18&lt;0,0,IF(D18&lt;0,(D18+E15)*Исх!$C$19,E15*Исх!$C$19))</f>
        <v>0</v>
      </c>
      <c r="F16" s="102">
        <f>IF(F15+E18&lt;0,0,IF(E18&lt;0,(E18+F15)*Исх!$C$19,F15*Исх!$C$19))</f>
        <v>0</v>
      </c>
      <c r="G16" s="102">
        <f>IF(G15+F18&lt;0,0,IF(F18&lt;0,(F18+G15)*Исх!$C$19,G15*Исх!$C$19))</f>
        <v>0</v>
      </c>
      <c r="H16" s="102">
        <f>IF(H15+G18&lt;0,0,IF(G18&lt;0,(G18+H15)*Исх!$C$19,H15*Исх!$C$19))</f>
        <v>0</v>
      </c>
      <c r="I16" s="102">
        <f>IF(I15+H18&lt;0,0,IF(H18&lt;0,(H18+I15)*Исх!$C$19,I15*Исх!$C$19))</f>
        <v>0</v>
      </c>
      <c r="J16" s="102">
        <f>IF(J15+I18&lt;0,0,IF(I18&lt;0,(I18+J15)*Исх!$C$19,J15*Исх!$C$19))</f>
        <v>0</v>
      </c>
      <c r="K16" s="102">
        <f>IF(K15+J18&lt;0,0,IF(J18&lt;0,(J18+K15)*Исх!$C$19,K15*Исх!$C$19))</f>
        <v>0</v>
      </c>
      <c r="L16" s="102">
        <f>IF(L15+K18&lt;0,0,IF(K18&lt;0,(K18+L15)*Исх!$C$19,L15*Исх!$C$19))</f>
        <v>0</v>
      </c>
      <c r="M16" s="102">
        <f>IF(M15+L18&lt;0,0,IF(L18&lt;0,(L18+M15)*Исх!$C$19,M15*Исх!$C$19))</f>
        <v>0</v>
      </c>
      <c r="N16" s="102">
        <f>IF(N15+M18&lt;0,0,IF(M18&lt;0,(M18+N15)*Исх!$C$19,N15*Исх!$C$19))</f>
        <v>0</v>
      </c>
      <c r="O16" s="102">
        <f>IF(O15+N18&lt;0,0,IF(N18&lt;0,(N18+O15)*Исх!$C$19,O15*Исх!$C$19))</f>
        <v>0</v>
      </c>
      <c r="P16" s="99">
        <f t="shared" si="6"/>
        <v>0</v>
      </c>
      <c r="Q16" s="102">
        <f>IF(Q15+P18&lt;0,0,IF(P18&lt;0,(P18+Q15)*Исх!$C$19,Q15*Исх!$C$19))</f>
        <v>0</v>
      </c>
      <c r="R16" s="102">
        <f>IF(R15+Q18&lt;0,0,IF(Q18&lt;0,(Q18+R15)*Исх!$C$19,R15*Исх!$C$19))</f>
        <v>0</v>
      </c>
      <c r="S16" s="102">
        <f>IF(S15+R18&lt;0,0,IF(R18&lt;0,(R18+S15)*Исх!$C$19,S15*Исх!$C$19))</f>
        <v>0</v>
      </c>
      <c r="T16" s="102">
        <f>IF(T15+S18&lt;0,0,IF(S18&lt;0,(S18+T15)*Исх!$C$19,T15*Исх!$C$19))</f>
        <v>0</v>
      </c>
      <c r="U16" s="102">
        <f>IF(U15+T18&lt;0,0,IF(T18&lt;0,(T18+U15)*Исх!$C$19,U15*Исх!$C$19))</f>
        <v>0</v>
      </c>
      <c r="V16" s="102">
        <f>IF(V15+U18&lt;0,0,IF(U18&lt;0,(U18+V15)*Исх!$C$19,V15*Исх!$C$19))</f>
        <v>0</v>
      </c>
      <c r="W16" s="102">
        <f>IF(W15+V18&lt;0,0,IF(V18&lt;0,(V18+W15)*Исх!$C$19,W15*Исх!$C$19))</f>
        <v>0</v>
      </c>
      <c r="X16" s="102">
        <f>IF(X15+W18&lt;0,0,IF(W18&lt;0,(W18+X15)*Исх!$C$19,X15*Исх!$C$19))</f>
        <v>237.46137923975186</v>
      </c>
      <c r="Y16" s="102">
        <f>IF(Y15+X18&lt;0,0,IF(X18&lt;0,(X18+Y15)*Исх!$C$19,Y15*Исх!$C$19))</f>
        <v>912.7381108291237</v>
      </c>
      <c r="Z16" s="102">
        <f>IF(Z15+Y18&lt;0,0,IF(Y18&lt;0,(Y18+Z15)*Исх!$C$19,Z15*Исх!$C$19))</f>
        <v>605.914747558454</v>
      </c>
      <c r="AA16" s="102">
        <f>IF(AA15+Z18&lt;0,0,IF(Z18&lt;0,(Z18+AA15)*Исх!$C$19,AA15*Исх!$C$19))</f>
        <v>-14.015758569358333</v>
      </c>
      <c r="AB16" s="102">
        <f>IF(AB15+AA18&lt;0,0,IF(AA18&lt;0,(AA18+AB15)*Исх!$C$19,AB15*Исх!$C$19))</f>
        <v>148.8215924456865</v>
      </c>
      <c r="AC16" s="99">
        <f t="shared" si="7"/>
        <v>1890.920071503658</v>
      </c>
      <c r="AD16" s="102">
        <f>IF(AD15+AC18&lt;0,0,IF(AC18&lt;0,(AC18+AD15)*Исх!$C$19,AD15*Исх!$C$19))</f>
        <v>4126.943174236024</v>
      </c>
      <c r="AE16" s="102">
        <f>IF(AE15+AD18&lt;0,0,IF(AD18&lt;0,(AD18+AE15)*Исх!$C$19,AE15*Исх!$C$19))</f>
        <v>5138.559370402483</v>
      </c>
      <c r="AF16" s="102">
        <f>IF(AF15+AE18&lt;0,0,IF(AE18&lt;0,(AE18+AF15)*Исх!$C$19,AF15*Исх!$C$19))</f>
        <v>6153.450521926085</v>
      </c>
      <c r="AG16" s="102">
        <f>IF(AG15+AF18&lt;0,0,IF(AF18&lt;0,(AF18+AG15)*Исх!$C$19,AG15*Исх!$C$19))</f>
        <v>7171.780376574683</v>
      </c>
      <c r="AH16" s="102">
        <f>IF(AH15+AG18&lt;0,0,IF(AG18&lt;0,(AG18+AH15)*Исх!$C$19,AH15*Исх!$C$19))</f>
        <v>8187.437089918065</v>
      </c>
    </row>
    <row r="17" spans="1:34" ht="15" customHeight="1">
      <c r="A17" s="104" t="s">
        <v>4</v>
      </c>
      <c r="B17" s="98">
        <f t="shared" si="3"/>
        <v>130676.36241824397</v>
      </c>
      <c r="C17" s="103"/>
      <c r="D17" s="102">
        <f aca="true" t="shared" si="10" ref="D17:Q17">D15-D16</f>
        <v>0</v>
      </c>
      <c r="E17" s="102">
        <f>E15-E16</f>
        <v>0</v>
      </c>
      <c r="F17" s="102">
        <f t="shared" si="10"/>
        <v>0</v>
      </c>
      <c r="G17" s="102">
        <f t="shared" si="10"/>
        <v>0</v>
      </c>
      <c r="H17" s="102">
        <f t="shared" si="10"/>
        <v>0</v>
      </c>
      <c r="I17" s="102">
        <f t="shared" si="10"/>
        <v>-226.72284444444446</v>
      </c>
      <c r="J17" s="102">
        <f t="shared" si="10"/>
        <v>-453.4456888888889</v>
      </c>
      <c r="K17" s="102">
        <f t="shared" si="10"/>
        <v>-680.1685333333334</v>
      </c>
      <c r="L17" s="102">
        <f t="shared" si="10"/>
        <v>-906.8913777777778</v>
      </c>
      <c r="M17" s="102">
        <f t="shared" si="10"/>
        <v>-1133.6142222222222</v>
      </c>
      <c r="N17" s="102">
        <f t="shared" si="10"/>
        <v>-1598.3960533333332</v>
      </c>
      <c r="O17" s="102">
        <f t="shared" si="10"/>
        <v>-1916.37824</v>
      </c>
      <c r="P17" s="99">
        <f t="shared" si="6"/>
        <v>-6915.616959999999</v>
      </c>
      <c r="Q17" s="102">
        <f t="shared" si="10"/>
        <v>-1045.6808807142856</v>
      </c>
      <c r="R17" s="102">
        <f aca="true" t="shared" si="11" ref="R17:AF17">R15-R16</f>
        <v>-2701.152445666667</v>
      </c>
      <c r="S17" s="102">
        <f t="shared" si="11"/>
        <v>-1886.965690591443</v>
      </c>
      <c r="T17" s="102">
        <f t="shared" si="11"/>
        <v>-1855.546792659076</v>
      </c>
      <c r="U17" s="102">
        <f t="shared" si="11"/>
        <v>-258.59218044099407</v>
      </c>
      <c r="V17" s="102">
        <f t="shared" si="11"/>
        <v>3686.66600320566</v>
      </c>
      <c r="W17" s="102">
        <f t="shared" si="11"/>
        <v>6066.388472566598</v>
      </c>
      <c r="X17" s="102">
        <f t="shared" si="11"/>
        <v>5860.345991259213</v>
      </c>
      <c r="Y17" s="102">
        <f t="shared" si="11"/>
        <v>3650.9524433164943</v>
      </c>
      <c r="Z17" s="102">
        <f t="shared" si="11"/>
        <v>2423.658990233816</v>
      </c>
      <c r="AA17" s="102">
        <f t="shared" si="11"/>
        <v>-56.063034277433324</v>
      </c>
      <c r="AB17" s="102">
        <f t="shared" si="11"/>
        <v>595.2863697827459</v>
      </c>
      <c r="AC17" s="99">
        <f t="shared" si="7"/>
        <v>14479.297246014628</v>
      </c>
      <c r="AD17" s="102">
        <f t="shared" si="11"/>
        <v>16507.772696944092</v>
      </c>
      <c r="AE17" s="102">
        <f t="shared" si="11"/>
        <v>20554.23748160993</v>
      </c>
      <c r="AF17" s="102">
        <f t="shared" si="11"/>
        <v>24613.80208770434</v>
      </c>
      <c r="AG17" s="102">
        <f>AG15-AG16</f>
        <v>28687.12150629873</v>
      </c>
      <c r="AH17" s="102">
        <f>AH15-AH16</f>
        <v>32749.74835967226</v>
      </c>
    </row>
    <row r="18" spans="1:34" ht="15" customHeight="1">
      <c r="A18" s="104" t="s">
        <v>35</v>
      </c>
      <c r="B18" s="105">
        <f>AH18</f>
        <v>130676.36241824398</v>
      </c>
      <c r="C18" s="106"/>
      <c r="D18" s="102">
        <f>C18+D17</f>
        <v>0</v>
      </c>
      <c r="E18" s="102">
        <f>D18+E17</f>
        <v>0</v>
      </c>
      <c r="F18" s="102">
        <f aca="true" t="shared" si="12" ref="F18:O18">E18+F17</f>
        <v>0</v>
      </c>
      <c r="G18" s="102">
        <f t="shared" si="12"/>
        <v>0</v>
      </c>
      <c r="H18" s="102">
        <f t="shared" si="12"/>
        <v>0</v>
      </c>
      <c r="I18" s="102">
        <f t="shared" si="12"/>
        <v>-226.72284444444446</v>
      </c>
      <c r="J18" s="102">
        <f t="shared" si="12"/>
        <v>-680.1685333333334</v>
      </c>
      <c r="K18" s="102">
        <f t="shared" si="12"/>
        <v>-1360.3370666666667</v>
      </c>
      <c r="L18" s="102">
        <f t="shared" si="12"/>
        <v>-2267.2284444444444</v>
      </c>
      <c r="M18" s="102">
        <f t="shared" si="12"/>
        <v>-3400.8426666666664</v>
      </c>
      <c r="N18" s="102">
        <f t="shared" si="12"/>
        <v>-4999.238719999999</v>
      </c>
      <c r="O18" s="102">
        <f t="shared" si="12"/>
        <v>-6915.616959999999</v>
      </c>
      <c r="P18" s="99">
        <f>O18</f>
        <v>-6915.616959999999</v>
      </c>
      <c r="Q18" s="102">
        <f>P18+Q17</f>
        <v>-7961.2978407142855</v>
      </c>
      <c r="R18" s="102">
        <f aca="true" t="shared" si="13" ref="R18:AA18">Q18+R17</f>
        <v>-10662.450286380952</v>
      </c>
      <c r="S18" s="102">
        <f t="shared" si="13"/>
        <v>-12549.415976972396</v>
      </c>
      <c r="T18" s="102">
        <f t="shared" si="13"/>
        <v>-14404.962769631471</v>
      </c>
      <c r="U18" s="102">
        <f t="shared" si="13"/>
        <v>-14663.554950072465</v>
      </c>
      <c r="V18" s="102">
        <f t="shared" si="13"/>
        <v>-10976.888946866804</v>
      </c>
      <c r="W18" s="102">
        <f t="shared" si="13"/>
        <v>-4910.500474300206</v>
      </c>
      <c r="X18" s="102">
        <f t="shared" si="13"/>
        <v>949.845516959007</v>
      </c>
      <c r="Y18" s="102">
        <f t="shared" si="13"/>
        <v>4600.797960275501</v>
      </c>
      <c r="Z18" s="102">
        <f t="shared" si="13"/>
        <v>7024.456950509317</v>
      </c>
      <c r="AA18" s="102">
        <f t="shared" si="13"/>
        <v>6968.393916231884</v>
      </c>
      <c r="AB18" s="102">
        <f>AA18+AB17</f>
        <v>7563.68028601463</v>
      </c>
      <c r="AC18" s="99">
        <f>AB18</f>
        <v>7563.68028601463</v>
      </c>
      <c r="AD18" s="102">
        <f>AC18+AD17</f>
        <v>24071.452982958723</v>
      </c>
      <c r="AE18" s="102">
        <f>AD18+AE17</f>
        <v>44625.69046456865</v>
      </c>
      <c r="AF18" s="102">
        <f>AE18+AF17</f>
        <v>69239.49255227299</v>
      </c>
      <c r="AG18" s="102">
        <f>AF18+AG17</f>
        <v>97926.61405857172</v>
      </c>
      <c r="AH18" s="102">
        <f>AG18+AH17</f>
        <v>130676.36241824398</v>
      </c>
    </row>
    <row r="19" spans="1:177" ht="15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</row>
    <row r="20" spans="1:177" ht="15" customHeight="1">
      <c r="A20" s="90"/>
      <c r="B20" s="108"/>
      <c r="C20" s="108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</row>
    <row r="21" spans="1:177" ht="15" customHeight="1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</row>
    <row r="22" spans="1:34" ht="12.75">
      <c r="A22" s="109" t="s">
        <v>58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47" s="113" customFormat="1" ht="12.75">
      <c r="A23" s="275" t="s">
        <v>3</v>
      </c>
      <c r="B23" s="278" t="s">
        <v>0</v>
      </c>
      <c r="C23" s="110"/>
      <c r="D23" s="269">
        <f>D3</f>
        <v>2012</v>
      </c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1"/>
      <c r="Q23" s="269">
        <f>Q3</f>
        <v>2013</v>
      </c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1"/>
      <c r="AD23" s="111">
        <f>AD3</f>
        <v>2014</v>
      </c>
      <c r="AE23" s="111">
        <f>AE3</f>
        <v>2015</v>
      </c>
      <c r="AF23" s="111">
        <f>AF3</f>
        <v>2016</v>
      </c>
      <c r="AG23" s="111">
        <f>AG3</f>
        <v>2017</v>
      </c>
      <c r="AH23" s="111">
        <f>AH3</f>
        <v>2018</v>
      </c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</row>
    <row r="24" spans="1:47" s="113" customFormat="1" ht="19.5" customHeight="1">
      <c r="A24" s="276"/>
      <c r="B24" s="279"/>
      <c r="C24" s="114"/>
      <c r="D24" s="115">
        <f>D4</f>
        <v>1</v>
      </c>
      <c r="E24" s="115">
        <f aca="true" t="shared" si="14" ref="E24:O24">E4</f>
        <v>2</v>
      </c>
      <c r="F24" s="115">
        <f t="shared" si="14"/>
        <v>3</v>
      </c>
      <c r="G24" s="115">
        <f t="shared" si="14"/>
        <v>4</v>
      </c>
      <c r="H24" s="115">
        <f t="shared" si="14"/>
        <v>5</v>
      </c>
      <c r="I24" s="115">
        <f t="shared" si="14"/>
        <v>6</v>
      </c>
      <c r="J24" s="115">
        <f t="shared" si="14"/>
        <v>7</v>
      </c>
      <c r="K24" s="115">
        <f t="shared" si="14"/>
        <v>8</v>
      </c>
      <c r="L24" s="115">
        <f t="shared" si="14"/>
        <v>9</v>
      </c>
      <c r="M24" s="115">
        <f t="shared" si="14"/>
        <v>10</v>
      </c>
      <c r="N24" s="115">
        <f t="shared" si="14"/>
        <v>11</v>
      </c>
      <c r="O24" s="115">
        <f t="shared" si="14"/>
        <v>12</v>
      </c>
      <c r="P24" s="116" t="s">
        <v>0</v>
      </c>
      <c r="Q24" s="115">
        <f>Q4</f>
        <v>1</v>
      </c>
      <c r="R24" s="115">
        <f aca="true" t="shared" si="15" ref="R24:AB24">R4</f>
        <v>2</v>
      </c>
      <c r="S24" s="115">
        <f t="shared" si="15"/>
        <v>3</v>
      </c>
      <c r="T24" s="115">
        <f t="shared" si="15"/>
        <v>4</v>
      </c>
      <c r="U24" s="115">
        <f t="shared" si="15"/>
        <v>5</v>
      </c>
      <c r="V24" s="115">
        <f t="shared" si="15"/>
        <v>6</v>
      </c>
      <c r="W24" s="115">
        <f t="shared" si="15"/>
        <v>7</v>
      </c>
      <c r="X24" s="115">
        <f t="shared" si="15"/>
        <v>8</v>
      </c>
      <c r="Y24" s="115">
        <f t="shared" si="15"/>
        <v>9</v>
      </c>
      <c r="Z24" s="115">
        <f t="shared" si="15"/>
        <v>10</v>
      </c>
      <c r="AA24" s="115">
        <f t="shared" si="15"/>
        <v>11</v>
      </c>
      <c r="AB24" s="115">
        <f t="shared" si="15"/>
        <v>12</v>
      </c>
      <c r="AC24" s="116" t="s">
        <v>0</v>
      </c>
      <c r="AD24" s="116"/>
      <c r="AE24" s="116"/>
      <c r="AF24" s="116"/>
      <c r="AG24" s="116"/>
      <c r="AH24" s="116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</row>
    <row r="25" spans="1:47" s="113" customFormat="1" ht="12.75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</row>
    <row r="26" spans="1:47" s="113" customFormat="1" ht="12.75">
      <c r="A26" s="117" t="s">
        <v>197</v>
      </c>
      <c r="B26" s="105">
        <f>P26+AC26+AD26+AE26+AF26+AG26+AH26</f>
        <v>68500.9123955357</v>
      </c>
      <c r="C26" s="119"/>
      <c r="D26" s="119">
        <f>D5*ндс</f>
        <v>0</v>
      </c>
      <c r="E26" s="119">
        <f>E5*ндс</f>
        <v>0</v>
      </c>
      <c r="F26" s="119">
        <f aca="true" t="shared" si="16" ref="F26:O26">F5*ндс</f>
        <v>0</v>
      </c>
      <c r="G26" s="119">
        <f t="shared" si="16"/>
        <v>0</v>
      </c>
      <c r="H26" s="119">
        <f t="shared" si="16"/>
        <v>0</v>
      </c>
      <c r="I26" s="119">
        <f t="shared" si="16"/>
        <v>0</v>
      </c>
      <c r="J26" s="119">
        <f t="shared" si="16"/>
        <v>0</v>
      </c>
      <c r="K26" s="119">
        <f t="shared" si="16"/>
        <v>0</v>
      </c>
      <c r="L26" s="119">
        <f t="shared" si="16"/>
        <v>0</v>
      </c>
      <c r="M26" s="119">
        <f>M5*ндс</f>
        <v>0</v>
      </c>
      <c r="N26" s="119">
        <f t="shared" si="16"/>
        <v>0</v>
      </c>
      <c r="O26" s="119">
        <f t="shared" si="16"/>
        <v>0</v>
      </c>
      <c r="P26" s="120">
        <f>SUM(D26:O26)</f>
        <v>0</v>
      </c>
      <c r="Q26" s="119">
        <f aca="true" t="shared" si="17" ref="Q26:AF26">Q5*ндс</f>
        <v>657.525</v>
      </c>
      <c r="R26" s="119">
        <f t="shared" si="17"/>
        <v>469.6607142857142</v>
      </c>
      <c r="S26" s="119">
        <f t="shared" si="17"/>
        <v>563.592857142857</v>
      </c>
      <c r="T26" s="119">
        <f t="shared" si="17"/>
        <v>563.592857142857</v>
      </c>
      <c r="U26" s="119">
        <f t="shared" si="17"/>
        <v>751.4571428571428</v>
      </c>
      <c r="V26" s="119">
        <f t="shared" si="17"/>
        <v>1221.117857142857</v>
      </c>
      <c r="W26" s="119">
        <f t="shared" si="17"/>
        <v>1502.9142857142856</v>
      </c>
      <c r="X26" s="119">
        <f t="shared" si="17"/>
        <v>1502.9142857142856</v>
      </c>
      <c r="Y26" s="119">
        <f t="shared" si="17"/>
        <v>1315.05</v>
      </c>
      <c r="Z26" s="119">
        <f t="shared" si="17"/>
        <v>1127.185714285714</v>
      </c>
      <c r="AA26" s="119">
        <f t="shared" si="17"/>
        <v>751.4571428571428</v>
      </c>
      <c r="AB26" s="119">
        <f t="shared" si="17"/>
        <v>845.3892857142856</v>
      </c>
      <c r="AC26" s="120">
        <f>SUM(Q26:AB26)</f>
        <v>11271.857142857141</v>
      </c>
      <c r="AD26" s="119">
        <f t="shared" si="17"/>
        <v>11271.857142857141</v>
      </c>
      <c r="AE26" s="119">
        <f t="shared" si="17"/>
        <v>11354.592857142858</v>
      </c>
      <c r="AF26" s="119">
        <f t="shared" si="17"/>
        <v>11441.465357142857</v>
      </c>
      <c r="AG26" s="119">
        <f>AG5*ндс</f>
        <v>11532.681482142856</v>
      </c>
      <c r="AH26" s="119">
        <f>AH5*ндс</f>
        <v>11628.458413392857</v>
      </c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47" s="113" customFormat="1" ht="12.75">
      <c r="A27" s="117" t="s">
        <v>198</v>
      </c>
      <c r="B27" s="105">
        <f>P27+AC27+AD27+AE27+AF27+AG27+AH27</f>
        <v>11329.664007656249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20">
        <f>SUM(D27:O27)</f>
        <v>0</v>
      </c>
      <c r="Q27" s="119">
        <f>(Q8+Q12-Пост!$D$6-Пост!$D$23-Пост!$D$26)*ндс+'1-Ф3'!AB13*2/Исх!$C$18*ндс</f>
        <v>284.11928571428564</v>
      </c>
      <c r="R27" s="119">
        <f>(R8+R12-Пост!$D$6-Пост!$D$23-Пост!$D$26)*ндс</f>
        <v>146.22642857142853</v>
      </c>
      <c r="S27" s="119">
        <f>(S8+S12-Пост!$D$6-Пост!$D$23-Пост!$D$26)*ндс</f>
        <v>146.22642857142853</v>
      </c>
      <c r="T27" s="119">
        <f>(T8+T12-Пост!$D$6-Пост!$D$23-Пост!$D$26)*ндс</f>
        <v>146.22642857142853</v>
      </c>
      <c r="U27" s="119">
        <f>(U8+U12-Пост!$D$6-Пост!$D$23-Пост!$D$26)*ндс</f>
        <v>146.22642857142853</v>
      </c>
      <c r="V27" s="119">
        <f>(V8+V12-Пост!$D$6-Пост!$D$23-Пост!$D$26)*ндс</f>
        <v>146.22642857142853</v>
      </c>
      <c r="W27" s="119">
        <f>(W8+W12-Пост!$D$6-Пост!$D$23-Пост!$D$26)*ндс</f>
        <v>146.22642857142853</v>
      </c>
      <c r="X27" s="119">
        <f>(X8+X12-Пост!$D$6-Пост!$D$23-Пост!$D$26)*ндс</f>
        <v>146.22642857142853</v>
      </c>
      <c r="Y27" s="119">
        <f>(Y8+Y12-Пост!$D$6-Пост!$D$23-Пост!$D$26)*ндс</f>
        <v>146.22642857142853</v>
      </c>
      <c r="Z27" s="119">
        <f>(Z8+Z12-Пост!$D$6-Пост!$D$23-Пост!$D$26)*ндс</f>
        <v>146.22642857142853</v>
      </c>
      <c r="AA27" s="119">
        <f>(AA8+AA12-Пост!$D$6-Пост!$D$23-Пост!$D$26)*ндс</f>
        <v>146.22642857142853</v>
      </c>
      <c r="AB27" s="119">
        <f>(AB8+AB12-Пост!$D$6-Пост!$D$23-Пост!$D$26)*ндс</f>
        <v>146.22642857142853</v>
      </c>
      <c r="AC27" s="120">
        <f>SUM(Q27:AB27)</f>
        <v>1892.6100000000001</v>
      </c>
      <c r="AD27" s="119">
        <f>(AD8+AD12-Пост!E6*12-Пост!E23*12-Пост!E26*12)*ндс</f>
        <v>1796.085</v>
      </c>
      <c r="AE27" s="119">
        <f>(AE8+AE12-Пост!F6*12-Пост!F23*12-Пост!F26*12)*ндс</f>
        <v>1839.52125</v>
      </c>
      <c r="AF27" s="119">
        <f>(AF8+AF12-Пост!G6*12-Пост!G23*12-Пост!G26*12)*ндс</f>
        <v>1885.1293124999993</v>
      </c>
      <c r="AG27" s="119">
        <f>(AG8+AG12-Пост!H6*12-Пост!H23*12-Пост!H26*12)*ндс</f>
        <v>1933.0177781250002</v>
      </c>
      <c r="AH27" s="119">
        <f>(AH8+AH12-Пост!I6*12-Пост!I23*12-Пост!I26*12)*ндс</f>
        <v>1983.3006670312498</v>
      </c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47" s="113" customFormat="1" ht="12.75">
      <c r="A28" s="117" t="s">
        <v>199</v>
      </c>
      <c r="B28" s="105">
        <f>P28+AC28+AD28+AE28+AF28+AG28+AH28</f>
        <v>30555.634285714277</v>
      </c>
      <c r="C28" s="119"/>
      <c r="D28" s="119">
        <f>Инв!E37/Исх!$C$18*ндс</f>
        <v>0</v>
      </c>
      <c r="E28" s="119">
        <f>Инв!F37/Исх!$C$18*ндс</f>
        <v>0</v>
      </c>
      <c r="F28" s="119">
        <f>Инв!G37/Исх!$C$18*ндс</f>
        <v>0</v>
      </c>
      <c r="G28" s="119">
        <f>Инв!H37/Исх!$C$18*ндс</f>
        <v>0</v>
      </c>
      <c r="H28" s="119">
        <f>Инв!I37/Исх!$C$18*ндс</f>
        <v>3470.2476190476186</v>
      </c>
      <c r="I28" s="119">
        <f>Инв!J37/Исх!$C$18*ндс</f>
        <v>3470.2476190476186</v>
      </c>
      <c r="J28" s="119">
        <f>Инв!K37/Исх!$C$18*ндс</f>
        <v>3470.2476190476186</v>
      </c>
      <c r="K28" s="119">
        <f>Инв!L37/Исх!$C$18*ндс</f>
        <v>3470.2476190476186</v>
      </c>
      <c r="L28" s="119">
        <f>Инв!M37/Исх!$C$18*ндс</f>
        <v>3470.2476190476186</v>
      </c>
      <c r="M28" s="119">
        <f>Инв!N37/Исх!$C$18*ндс</f>
        <v>7114.007619047618</v>
      </c>
      <c r="N28" s="119">
        <f>Инв!O37/Исх!$C$18*ндс</f>
        <v>4867.074285714285</v>
      </c>
      <c r="O28" s="119">
        <f>Инв!P37/Исх!$C$18*ндс</f>
        <v>1223.3142857142857</v>
      </c>
      <c r="P28" s="120">
        <f>SUM(D28:O28)</f>
        <v>30555.634285714277</v>
      </c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20"/>
      <c r="AD28" s="120"/>
      <c r="AE28" s="120"/>
      <c r="AF28" s="120"/>
      <c r="AG28" s="120"/>
      <c r="AH28" s="120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</row>
    <row r="29" spans="1:47" s="113" customFormat="1" ht="12.75">
      <c r="A29" s="117" t="s">
        <v>33</v>
      </c>
      <c r="B29" s="105">
        <f>P29+AC29+AD29+AE29+AF29+AG29+AH29</f>
        <v>26615.614102165186</v>
      </c>
      <c r="C29" s="119"/>
      <c r="D29" s="119">
        <f>D26-D27-D28</f>
        <v>0</v>
      </c>
      <c r="E29" s="119">
        <f aca="true" t="shared" si="18" ref="E29:O29">E26-E27-E28</f>
        <v>0</v>
      </c>
      <c r="F29" s="119">
        <f t="shared" si="18"/>
        <v>0</v>
      </c>
      <c r="G29" s="119">
        <f t="shared" si="18"/>
        <v>0</v>
      </c>
      <c r="H29" s="119">
        <f t="shared" si="18"/>
        <v>-3470.2476190476186</v>
      </c>
      <c r="I29" s="119">
        <f t="shared" si="18"/>
        <v>-3470.2476190476186</v>
      </c>
      <c r="J29" s="119">
        <f t="shared" si="18"/>
        <v>-3470.2476190476186</v>
      </c>
      <c r="K29" s="119">
        <f t="shared" si="18"/>
        <v>-3470.2476190476186</v>
      </c>
      <c r="L29" s="119">
        <f t="shared" si="18"/>
        <v>-3470.2476190476186</v>
      </c>
      <c r="M29" s="119">
        <f t="shared" si="18"/>
        <v>-7114.007619047618</v>
      </c>
      <c r="N29" s="119">
        <f t="shared" si="18"/>
        <v>-4867.074285714285</v>
      </c>
      <c r="O29" s="119">
        <f t="shared" si="18"/>
        <v>-1223.3142857142857</v>
      </c>
      <c r="P29" s="120">
        <f>SUM(D29:O29)</f>
        <v>-30555.634285714277</v>
      </c>
      <c r="Q29" s="119">
        <f aca="true" t="shared" si="19" ref="Q29:AB29">Q26-Q27-Q28</f>
        <v>373.40571428571434</v>
      </c>
      <c r="R29" s="119">
        <f t="shared" si="19"/>
        <v>323.4342857142857</v>
      </c>
      <c r="S29" s="119">
        <f t="shared" si="19"/>
        <v>417.3664285714285</v>
      </c>
      <c r="T29" s="119">
        <f t="shared" si="19"/>
        <v>417.3664285714285</v>
      </c>
      <c r="U29" s="119">
        <f t="shared" si="19"/>
        <v>605.2307142857143</v>
      </c>
      <c r="V29" s="119">
        <f t="shared" si="19"/>
        <v>1074.8914285714286</v>
      </c>
      <c r="W29" s="119">
        <f t="shared" si="19"/>
        <v>1356.687857142857</v>
      </c>
      <c r="X29" s="119">
        <f t="shared" si="19"/>
        <v>1356.687857142857</v>
      </c>
      <c r="Y29" s="119">
        <f t="shared" si="19"/>
        <v>1168.8235714285715</v>
      </c>
      <c r="Z29" s="119">
        <f t="shared" si="19"/>
        <v>980.9592857142856</v>
      </c>
      <c r="AA29" s="119">
        <f t="shared" si="19"/>
        <v>605.2307142857143</v>
      </c>
      <c r="AB29" s="119">
        <f t="shared" si="19"/>
        <v>699.1628571428571</v>
      </c>
      <c r="AC29" s="120">
        <f>SUM(Q29:AB29)</f>
        <v>9379.24714285714</v>
      </c>
      <c r="AD29" s="119">
        <f>AD26-AD27-AD28</f>
        <v>9475.772142857142</v>
      </c>
      <c r="AE29" s="119">
        <f>AE26-AE27-AE28</f>
        <v>9515.071607142858</v>
      </c>
      <c r="AF29" s="119">
        <f>AF26-AF27-AF28</f>
        <v>9556.336044642858</v>
      </c>
      <c r="AG29" s="119">
        <f>AG26-AG27-AG28</f>
        <v>9599.663704017856</v>
      </c>
      <c r="AH29" s="119">
        <f>AH26-AH27-AH28</f>
        <v>9645.157746361607</v>
      </c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</row>
    <row r="30" spans="1:47" s="113" customFormat="1" ht="12.75">
      <c r="A30" s="117" t="s">
        <v>200</v>
      </c>
      <c r="B30" s="105">
        <f>AH30</f>
        <v>26615.614102165186</v>
      </c>
      <c r="C30" s="119"/>
      <c r="D30" s="119">
        <f>D29</f>
        <v>0</v>
      </c>
      <c r="E30" s="119">
        <f>D30+E29</f>
        <v>0</v>
      </c>
      <c r="F30" s="119">
        <f aca="true" t="shared" si="20" ref="F30:O30">E30+F29</f>
        <v>0</v>
      </c>
      <c r="G30" s="119">
        <f t="shared" si="20"/>
        <v>0</v>
      </c>
      <c r="H30" s="119">
        <f t="shared" si="20"/>
        <v>-3470.2476190476186</v>
      </c>
      <c r="I30" s="119">
        <f t="shared" si="20"/>
        <v>-6940.495238095237</v>
      </c>
      <c r="J30" s="119">
        <f t="shared" si="20"/>
        <v>-10410.742857142855</v>
      </c>
      <c r="K30" s="119">
        <f t="shared" si="20"/>
        <v>-13880.990476190475</v>
      </c>
      <c r="L30" s="119">
        <f t="shared" si="20"/>
        <v>-17351.23809523809</v>
      </c>
      <c r="M30" s="119">
        <f t="shared" si="20"/>
        <v>-24465.24571428571</v>
      </c>
      <c r="N30" s="119">
        <f t="shared" si="20"/>
        <v>-29332.319999999992</v>
      </c>
      <c r="O30" s="119">
        <f t="shared" si="20"/>
        <v>-30555.634285714277</v>
      </c>
      <c r="P30" s="120">
        <f>O30</f>
        <v>-30555.634285714277</v>
      </c>
      <c r="Q30" s="119">
        <f aca="true" t="shared" si="21" ref="Q30:AB30">P30+Q29</f>
        <v>-30182.228571428564</v>
      </c>
      <c r="R30" s="119">
        <f t="shared" si="21"/>
        <v>-29858.794285714277</v>
      </c>
      <c r="S30" s="119">
        <f t="shared" si="21"/>
        <v>-29441.427857142848</v>
      </c>
      <c r="T30" s="119">
        <f t="shared" si="21"/>
        <v>-29024.06142857142</v>
      </c>
      <c r="U30" s="119">
        <f t="shared" si="21"/>
        <v>-28418.830714285705</v>
      </c>
      <c r="V30" s="119">
        <f t="shared" si="21"/>
        <v>-27343.939285714278</v>
      </c>
      <c r="W30" s="119">
        <f t="shared" si="21"/>
        <v>-25987.25142857142</v>
      </c>
      <c r="X30" s="119">
        <f t="shared" si="21"/>
        <v>-24630.563571428564</v>
      </c>
      <c r="Y30" s="119">
        <f t="shared" si="21"/>
        <v>-23461.73999999999</v>
      </c>
      <c r="Z30" s="119">
        <f t="shared" si="21"/>
        <v>-22480.780714285705</v>
      </c>
      <c r="AA30" s="119">
        <f t="shared" si="21"/>
        <v>-21875.549999999992</v>
      </c>
      <c r="AB30" s="119">
        <f t="shared" si="21"/>
        <v>-21176.387142857136</v>
      </c>
      <c r="AC30" s="120">
        <f>AB30</f>
        <v>-21176.387142857136</v>
      </c>
      <c r="AD30" s="119">
        <f>AC30+AD29</f>
        <v>-11700.614999999994</v>
      </c>
      <c r="AE30" s="119">
        <f>AD30+AE29</f>
        <v>-2185.5433928571365</v>
      </c>
      <c r="AF30" s="119">
        <f>AE30+AF29</f>
        <v>7370.792651785721</v>
      </c>
      <c r="AG30" s="119">
        <f>AF30+AG29</f>
        <v>16970.456355803577</v>
      </c>
      <c r="AH30" s="119">
        <f>AG30+AH29</f>
        <v>26615.614102165186</v>
      </c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</row>
    <row r="31" spans="1:47" s="113" customFormat="1" ht="12.75">
      <c r="A31" s="117" t="s">
        <v>201</v>
      </c>
      <c r="B31" s="105">
        <f>P31+AC31+AD31+AE31+AF31+AG31+AH31</f>
        <v>26615.614102165186</v>
      </c>
      <c r="C31" s="119"/>
      <c r="D31" s="119">
        <f>IF(C30+D29&gt;=0,IF(C30&lt;0,C30+D29,D29),0)</f>
        <v>0</v>
      </c>
      <c r="E31" s="119">
        <f aca="true" t="shared" si="22" ref="E31:AH31">IF(D30+E29&gt;=0,IF(D30&lt;0,D30+E29,E29),0)</f>
        <v>0</v>
      </c>
      <c r="F31" s="119">
        <f t="shared" si="22"/>
        <v>0</v>
      </c>
      <c r="G31" s="119">
        <f t="shared" si="22"/>
        <v>0</v>
      </c>
      <c r="H31" s="119">
        <f t="shared" si="22"/>
        <v>0</v>
      </c>
      <c r="I31" s="119">
        <f t="shared" si="22"/>
        <v>0</v>
      </c>
      <c r="J31" s="119">
        <f t="shared" si="22"/>
        <v>0</v>
      </c>
      <c r="K31" s="119">
        <f t="shared" si="22"/>
        <v>0</v>
      </c>
      <c r="L31" s="119">
        <f t="shared" si="22"/>
        <v>0</v>
      </c>
      <c r="M31" s="119">
        <f t="shared" si="22"/>
        <v>0</v>
      </c>
      <c r="N31" s="119">
        <f t="shared" si="22"/>
        <v>0</v>
      </c>
      <c r="O31" s="119">
        <f t="shared" si="22"/>
        <v>0</v>
      </c>
      <c r="P31" s="120">
        <f>SUM(D31:O31)</f>
        <v>0</v>
      </c>
      <c r="Q31" s="119">
        <f t="shared" si="22"/>
        <v>0</v>
      </c>
      <c r="R31" s="119">
        <f t="shared" si="22"/>
        <v>0</v>
      </c>
      <c r="S31" s="119">
        <f t="shared" si="22"/>
        <v>0</v>
      </c>
      <c r="T31" s="119">
        <f t="shared" si="22"/>
        <v>0</v>
      </c>
      <c r="U31" s="119">
        <f t="shared" si="22"/>
        <v>0</v>
      </c>
      <c r="V31" s="119">
        <f t="shared" si="22"/>
        <v>0</v>
      </c>
      <c r="W31" s="119">
        <f t="shared" si="22"/>
        <v>0</v>
      </c>
      <c r="X31" s="119">
        <f t="shared" si="22"/>
        <v>0</v>
      </c>
      <c r="Y31" s="119">
        <f t="shared" si="22"/>
        <v>0</v>
      </c>
      <c r="Z31" s="119">
        <f t="shared" si="22"/>
        <v>0</v>
      </c>
      <c r="AA31" s="119">
        <f t="shared" si="22"/>
        <v>0</v>
      </c>
      <c r="AB31" s="119">
        <f t="shared" si="22"/>
        <v>0</v>
      </c>
      <c r="AC31" s="120">
        <f>SUM(Q31:AB31)</f>
        <v>0</v>
      </c>
      <c r="AD31" s="119">
        <f t="shared" si="22"/>
        <v>0</v>
      </c>
      <c r="AE31" s="119">
        <f t="shared" si="22"/>
        <v>0</v>
      </c>
      <c r="AF31" s="119">
        <f t="shared" si="22"/>
        <v>7370.792651785721</v>
      </c>
      <c r="AG31" s="119">
        <f t="shared" si="22"/>
        <v>9599.663704017856</v>
      </c>
      <c r="AH31" s="119">
        <f t="shared" si="22"/>
        <v>9645.157746361607</v>
      </c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</row>
    <row r="33" ht="12.75">
      <c r="B33" s="264"/>
    </row>
  </sheetData>
  <sheetProtection/>
  <mergeCells count="8">
    <mergeCell ref="Q23:AC23"/>
    <mergeCell ref="Q3:AC3"/>
    <mergeCell ref="A3:A4"/>
    <mergeCell ref="A23:A24"/>
    <mergeCell ref="B3:B4"/>
    <mergeCell ref="D23:P23"/>
    <mergeCell ref="B23:B24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A40"/>
  <sheetViews>
    <sheetView showGridLines="0" showZeros="0" zoomScalePageLayoutView="0" workbookViewId="0" topLeftCell="A1">
      <pane xSplit="3" ySplit="4" topLeftCell="D5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F12" sqref="AF12"/>
    </sheetView>
  </sheetViews>
  <sheetFormatPr defaultColWidth="10.125" defaultRowHeight="12.75" outlineLevelCol="1"/>
  <cols>
    <col min="1" max="1" width="38.125" style="122" customWidth="1"/>
    <col min="2" max="2" width="2.375" style="122" customWidth="1"/>
    <col min="3" max="3" width="7.125" style="122" customWidth="1"/>
    <col min="4" max="4" width="11.375" style="122" hidden="1" customWidth="1" outlineLevel="1"/>
    <col min="5" max="11" width="7.375" style="122" hidden="1" customWidth="1" outlineLevel="1"/>
    <col min="12" max="12" width="8.00390625" style="122" hidden="1" customWidth="1" outlineLevel="1"/>
    <col min="13" max="13" width="7.875" style="122" hidden="1" customWidth="1" outlineLevel="1"/>
    <col min="14" max="15" width="8.125" style="122" hidden="1" customWidth="1" outlineLevel="1"/>
    <col min="16" max="16" width="9.875" style="122" customWidth="1" collapsed="1"/>
    <col min="17" max="23" width="8.375" style="122" hidden="1" customWidth="1" outlineLevel="1"/>
    <col min="24" max="25" width="8.75390625" style="122" hidden="1" customWidth="1" outlineLevel="1"/>
    <col min="26" max="26" width="8.625" style="122" hidden="1" customWidth="1" outlineLevel="1"/>
    <col min="27" max="27" width="9.00390625" style="122" hidden="1" customWidth="1" outlineLevel="1"/>
    <col min="28" max="28" width="9.125" style="122" hidden="1" customWidth="1" outlineLevel="1"/>
    <col min="29" max="29" width="10.125" style="122" customWidth="1" collapsed="1"/>
    <col min="30" max="30" width="9.875" style="122" customWidth="1"/>
    <col min="31" max="31" width="9.75390625" style="122" customWidth="1"/>
    <col min="32" max="32" width="9.625" style="122" customWidth="1"/>
    <col min="33" max="34" width="9.75390625" style="122" customWidth="1"/>
    <col min="35" max="16384" width="10.125" style="122" customWidth="1"/>
  </cols>
  <sheetData>
    <row r="1" spans="1:3" ht="12.75">
      <c r="A1" s="62" t="s">
        <v>142</v>
      </c>
      <c r="B1" s="121"/>
      <c r="C1" s="121"/>
    </row>
    <row r="2" spans="1:34" ht="17.25" customHeight="1">
      <c r="A2" s="62"/>
      <c r="C2" s="12" t="str">
        <f>Исх!$C$9</f>
        <v>тыс.тг.</v>
      </c>
      <c r="P2" s="123"/>
      <c r="AC2" s="123"/>
      <c r="AD2" s="123"/>
      <c r="AE2" s="123"/>
      <c r="AF2" s="123"/>
      <c r="AG2" s="123"/>
      <c r="AH2" s="123"/>
    </row>
    <row r="3" spans="1:34" ht="12.75" customHeight="1">
      <c r="A3" s="280" t="s">
        <v>3</v>
      </c>
      <c r="B3" s="282"/>
      <c r="C3" s="125"/>
      <c r="D3" s="283">
        <v>2012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>
        <v>2013</v>
      </c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126">
        <f>Q3+1</f>
        <v>2014</v>
      </c>
      <c r="AE3" s="126">
        <f>AD3+1</f>
        <v>2015</v>
      </c>
      <c r="AF3" s="126">
        <f>AE3+1</f>
        <v>2016</v>
      </c>
      <c r="AG3" s="126">
        <f>AF3+1</f>
        <v>2017</v>
      </c>
      <c r="AH3" s="126">
        <f>AG3+1</f>
        <v>2018</v>
      </c>
    </row>
    <row r="4" spans="1:34" ht="12.75">
      <c r="A4" s="281"/>
      <c r="B4" s="282"/>
      <c r="C4" s="127"/>
      <c r="D4" s="128">
        <v>1</v>
      </c>
      <c r="E4" s="128">
        <f>D4+1</f>
        <v>2</v>
      </c>
      <c r="F4" s="128">
        <f aca="true" t="shared" si="0" ref="F4:O4">E4+1</f>
        <v>3</v>
      </c>
      <c r="G4" s="128">
        <f t="shared" si="0"/>
        <v>4</v>
      </c>
      <c r="H4" s="128">
        <f t="shared" si="0"/>
        <v>5</v>
      </c>
      <c r="I4" s="128">
        <f t="shared" si="0"/>
        <v>6</v>
      </c>
      <c r="J4" s="128">
        <f t="shared" si="0"/>
        <v>7</v>
      </c>
      <c r="K4" s="128">
        <f t="shared" si="0"/>
        <v>8</v>
      </c>
      <c r="L4" s="128">
        <f t="shared" si="0"/>
        <v>9</v>
      </c>
      <c r="M4" s="128">
        <f t="shared" si="0"/>
        <v>10</v>
      </c>
      <c r="N4" s="128">
        <f t="shared" si="0"/>
        <v>11</v>
      </c>
      <c r="O4" s="128">
        <f t="shared" si="0"/>
        <v>12</v>
      </c>
      <c r="P4" s="124" t="s">
        <v>0</v>
      </c>
      <c r="Q4" s="128">
        <v>1</v>
      </c>
      <c r="R4" s="128">
        <f aca="true" t="shared" si="1" ref="R4:AB4">Q4+1</f>
        <v>2</v>
      </c>
      <c r="S4" s="128">
        <f t="shared" si="1"/>
        <v>3</v>
      </c>
      <c r="T4" s="128">
        <f t="shared" si="1"/>
        <v>4</v>
      </c>
      <c r="U4" s="128">
        <f t="shared" si="1"/>
        <v>5</v>
      </c>
      <c r="V4" s="128">
        <f t="shared" si="1"/>
        <v>6</v>
      </c>
      <c r="W4" s="128">
        <f t="shared" si="1"/>
        <v>7</v>
      </c>
      <c r="X4" s="128">
        <f t="shared" si="1"/>
        <v>8</v>
      </c>
      <c r="Y4" s="128">
        <f t="shared" si="1"/>
        <v>9</v>
      </c>
      <c r="Z4" s="128">
        <f t="shared" si="1"/>
        <v>10</v>
      </c>
      <c r="AA4" s="128">
        <f t="shared" si="1"/>
        <v>11</v>
      </c>
      <c r="AB4" s="128">
        <f t="shared" si="1"/>
        <v>12</v>
      </c>
      <c r="AC4" s="124" t="s">
        <v>0</v>
      </c>
      <c r="AD4" s="124"/>
      <c r="AE4" s="124"/>
      <c r="AF4" s="124"/>
      <c r="AG4" s="124"/>
      <c r="AH4" s="124"/>
    </row>
    <row r="5" spans="1:41" s="133" customFormat="1" ht="15" customHeight="1">
      <c r="A5" s="129" t="s">
        <v>143</v>
      </c>
      <c r="B5" s="130"/>
      <c r="C5" s="131">
        <f>C11+C6</f>
        <v>0</v>
      </c>
      <c r="D5" s="131">
        <f>D11+D6</f>
        <v>0</v>
      </c>
      <c r="E5" s="131">
        <f aca="true" t="shared" si="2" ref="E5:AH5">E11+E6</f>
        <v>0</v>
      </c>
      <c r="F5" s="131">
        <f t="shared" si="2"/>
        <v>0</v>
      </c>
      <c r="G5" s="131">
        <f t="shared" si="2"/>
        <v>0</v>
      </c>
      <c r="H5" s="131">
        <f t="shared" si="2"/>
        <v>32388.977777777774</v>
      </c>
      <c r="I5" s="131">
        <f t="shared" si="2"/>
        <v>64777.95555555555</v>
      </c>
      <c r="J5" s="131">
        <f t="shared" si="2"/>
        <v>97166.93333333333</v>
      </c>
      <c r="K5" s="131">
        <f t="shared" si="2"/>
        <v>129555.9111111111</v>
      </c>
      <c r="L5" s="131">
        <f t="shared" si="2"/>
        <v>161944.88888888888</v>
      </c>
      <c r="M5" s="131">
        <f t="shared" si="2"/>
        <v>228342.29333333328</v>
      </c>
      <c r="N5" s="131">
        <f t="shared" si="2"/>
        <v>273768.31999999995</v>
      </c>
      <c r="O5" s="131">
        <f t="shared" si="2"/>
        <v>293352.5866666666</v>
      </c>
      <c r="P5" s="131">
        <f t="shared" si="2"/>
        <v>293352.5866666666</v>
      </c>
      <c r="Q5" s="131">
        <f t="shared" si="2"/>
        <v>297884.8738926189</v>
      </c>
      <c r="R5" s="131">
        <f t="shared" si="2"/>
        <v>292041.8316537156</v>
      </c>
      <c r="S5" s="131">
        <f t="shared" si="2"/>
        <v>287012.9761698874</v>
      </c>
      <c r="T5" s="131">
        <f t="shared" si="2"/>
        <v>282015.53958399163</v>
      </c>
      <c r="U5" s="131">
        <f t="shared" si="2"/>
        <v>278615.0576103139</v>
      </c>
      <c r="V5" s="131">
        <f t="shared" si="2"/>
        <v>279159.8338202828</v>
      </c>
      <c r="W5" s="131">
        <f t="shared" si="2"/>
        <v>282084.3324996127</v>
      </c>
      <c r="X5" s="131">
        <f t="shared" si="2"/>
        <v>284802.7886976352</v>
      </c>
      <c r="Y5" s="131">
        <f t="shared" si="2"/>
        <v>285311.85134771495</v>
      </c>
      <c r="Z5" s="131">
        <f t="shared" si="2"/>
        <v>284593.620544712</v>
      </c>
      <c r="AA5" s="131">
        <f t="shared" si="2"/>
        <v>281395.6677171979</v>
      </c>
      <c r="AB5" s="131">
        <f t="shared" si="2"/>
        <v>278849.06429374387</v>
      </c>
      <c r="AC5" s="131">
        <f t="shared" si="2"/>
        <v>278849.06429374387</v>
      </c>
      <c r="AD5" s="131">
        <f t="shared" si="2"/>
        <v>257654.1594718474</v>
      </c>
      <c r="AE5" s="131">
        <f t="shared" si="2"/>
        <v>240505.71943461677</v>
      </c>
      <c r="AF5" s="131">
        <f t="shared" si="2"/>
        <v>227416.84400348054</v>
      </c>
      <c r="AG5" s="131">
        <f t="shared" si="2"/>
        <v>218401.2879909387</v>
      </c>
      <c r="AH5" s="131">
        <f t="shared" si="2"/>
        <v>219732.13841824382</v>
      </c>
      <c r="AI5" s="132"/>
      <c r="AJ5" s="132"/>
      <c r="AK5" s="132"/>
      <c r="AL5" s="132"/>
      <c r="AM5" s="132"/>
      <c r="AN5" s="132"/>
      <c r="AO5" s="132"/>
    </row>
    <row r="6" spans="1:34" s="133" customFormat="1" ht="15" customHeight="1">
      <c r="A6" s="129" t="s">
        <v>144</v>
      </c>
      <c r="B6" s="130"/>
      <c r="C6" s="131">
        <f>SUM(C7:C10)</f>
        <v>0</v>
      </c>
      <c r="D6" s="131">
        <f>SUM(D7:D10)</f>
        <v>0</v>
      </c>
      <c r="E6" s="131">
        <f aca="true" t="shared" si="3" ref="E6:AH6">SUM(E7:E10)</f>
        <v>0</v>
      </c>
      <c r="F6" s="131">
        <f t="shared" si="3"/>
        <v>0</v>
      </c>
      <c r="G6" s="131">
        <f t="shared" si="3"/>
        <v>0</v>
      </c>
      <c r="H6" s="131">
        <f t="shared" si="3"/>
        <v>0</v>
      </c>
      <c r="I6" s="131">
        <f t="shared" si="3"/>
        <v>0</v>
      </c>
      <c r="J6" s="131">
        <f t="shared" si="3"/>
        <v>0</v>
      </c>
      <c r="K6" s="131">
        <f t="shared" si="3"/>
        <v>0</v>
      </c>
      <c r="L6" s="131">
        <f t="shared" si="3"/>
        <v>0</v>
      </c>
      <c r="M6" s="131">
        <f t="shared" si="3"/>
        <v>0</v>
      </c>
      <c r="N6" s="131">
        <f t="shared" si="3"/>
        <v>0</v>
      </c>
      <c r="O6" s="131">
        <f t="shared" si="3"/>
        <v>8166.666666666666</v>
      </c>
      <c r="P6" s="131">
        <f t="shared" si="3"/>
        <v>8166.666666666666</v>
      </c>
      <c r="Q6" s="131">
        <f t="shared" si="3"/>
        <v>14218.271511666668</v>
      </c>
      <c r="R6" s="131">
        <f t="shared" si="3"/>
        <v>9844.575463239476</v>
      </c>
      <c r="S6" s="131">
        <f t="shared" si="3"/>
        <v>6378.998312744651</v>
      </c>
      <c r="T6" s="131">
        <f t="shared" si="3"/>
        <v>2944.840060182193</v>
      </c>
      <c r="U6" s="131">
        <f t="shared" si="3"/>
        <v>1295.5007055521044</v>
      </c>
      <c r="V6" s="131">
        <f t="shared" si="3"/>
        <v>4061.0802488543814</v>
      </c>
      <c r="W6" s="131">
        <f t="shared" si="3"/>
        <v>9488.178690089027</v>
      </c>
      <c r="X6" s="131">
        <f t="shared" si="3"/>
        <v>14709.234650016291</v>
      </c>
      <c r="Y6" s="131">
        <f t="shared" si="3"/>
        <v>17533.032776286545</v>
      </c>
      <c r="Z6" s="131">
        <f t="shared" si="3"/>
        <v>18941.673163759835</v>
      </c>
      <c r="AA6" s="131">
        <f t="shared" si="3"/>
        <v>17494.86295529331</v>
      </c>
      <c r="AB6" s="131">
        <f t="shared" si="3"/>
        <v>16793.334293744105</v>
      </c>
      <c r="AC6" s="131">
        <f t="shared" si="3"/>
        <v>16793.334293744105</v>
      </c>
      <c r="AD6" s="131">
        <f t="shared" si="3"/>
        <v>18825.144471847634</v>
      </c>
      <c r="AE6" s="131">
        <f t="shared" si="3"/>
        <v>24942.718898902705</v>
      </c>
      <c r="AF6" s="131">
        <f t="shared" si="3"/>
        <v>27790.329717766457</v>
      </c>
      <c r="AG6" s="131">
        <f t="shared" si="3"/>
        <v>32525.71656236749</v>
      </c>
      <c r="AH6" s="131">
        <f t="shared" si="3"/>
        <v>47607.50984681546</v>
      </c>
    </row>
    <row r="7" spans="1:34" ht="15" customHeight="1">
      <c r="A7" s="134" t="s">
        <v>145</v>
      </c>
      <c r="B7" s="130"/>
      <c r="C7" s="135"/>
      <c r="D7" s="135">
        <f>'1-Ф3'!D35</f>
        <v>0</v>
      </c>
      <c r="E7" s="135">
        <f>'1-Ф3'!E35</f>
        <v>0</v>
      </c>
      <c r="F7" s="135">
        <f>'1-Ф3'!F35</f>
        <v>0</v>
      </c>
      <c r="G7" s="135">
        <f>'1-Ф3'!G35</f>
        <v>0</v>
      </c>
      <c r="H7" s="135">
        <f>'1-Ф3'!H35</f>
        <v>0</v>
      </c>
      <c r="I7" s="135">
        <f>'1-Ф3'!I35</f>
        <v>0</v>
      </c>
      <c r="J7" s="135">
        <f>'1-Ф3'!J35</f>
        <v>0</v>
      </c>
      <c r="K7" s="135">
        <f>'1-Ф3'!K35</f>
        <v>0</v>
      </c>
      <c r="L7" s="135">
        <f>'1-Ф3'!L35</f>
        <v>0</v>
      </c>
      <c r="M7" s="135">
        <f>'1-Ф3'!M35</f>
        <v>0</v>
      </c>
      <c r="N7" s="135">
        <f>'1-Ф3'!N35</f>
        <v>0</v>
      </c>
      <c r="O7" s="135">
        <f>'1-Ф3'!O35</f>
        <v>8166.666666666666</v>
      </c>
      <c r="P7" s="135">
        <f>'1-Ф3'!P35</f>
        <v>8166.666666666666</v>
      </c>
      <c r="Q7" s="135">
        <f>'1-Ф3'!Q35</f>
        <v>13069.164368809525</v>
      </c>
      <c r="R7" s="135">
        <f>'1-Ф3'!R35</f>
        <v>8695.468320382333</v>
      </c>
      <c r="S7" s="135">
        <f>'1-Ф3'!S35</f>
        <v>5229.891169887508</v>
      </c>
      <c r="T7" s="135">
        <f>'1-Ф3'!T35</f>
        <v>1795.73291732505</v>
      </c>
      <c r="U7" s="135">
        <f>'1-Ф3'!U35</f>
        <v>146.39356269496147</v>
      </c>
      <c r="V7" s="135">
        <f>'1-Ф3'!V35</f>
        <v>2911.9731059972382</v>
      </c>
      <c r="W7" s="135">
        <f>'1-Ф3'!W35</f>
        <v>8339.071547231884</v>
      </c>
      <c r="X7" s="135">
        <f>'1-Ф3'!X35</f>
        <v>13560.127507159148</v>
      </c>
      <c r="Y7" s="135">
        <f>'1-Ф3'!Y35</f>
        <v>16383.925633429404</v>
      </c>
      <c r="Z7" s="135">
        <f>'1-Ф3'!Z35</f>
        <v>17792.566020902694</v>
      </c>
      <c r="AA7" s="135">
        <f>'1-Ф3'!AA35</f>
        <v>16345.755812436168</v>
      </c>
      <c r="AB7" s="135">
        <f>'1-Ф3'!AB35</f>
        <v>15644.227150886963</v>
      </c>
      <c r="AC7" s="135">
        <f>'1-Ф3'!AC35</f>
        <v>15644.227150886963</v>
      </c>
      <c r="AD7" s="135">
        <f>'1-Ф3'!AD35</f>
        <v>17676.03732899049</v>
      </c>
      <c r="AE7" s="135">
        <f>'1-Ф3'!AE35</f>
        <v>23793.61175604556</v>
      </c>
      <c r="AF7" s="135">
        <f>'1-Ф3'!AF35</f>
        <v>26641.222574909312</v>
      </c>
      <c r="AG7" s="135">
        <f>'1-Ф3'!AG35</f>
        <v>31376.609419510343</v>
      </c>
      <c r="AH7" s="135">
        <f>'1-Ф3'!AH35</f>
        <v>46458.402703958316</v>
      </c>
    </row>
    <row r="8" spans="1:34" ht="15" customHeight="1">
      <c r="A8" s="134" t="s">
        <v>146</v>
      </c>
      <c r="B8" s="130"/>
      <c r="C8" s="135"/>
      <c r="D8" s="135">
        <f>C8+'2-ф2'!D5-'1-Ф3'!D9/Исх!$C$18</f>
        <v>0</v>
      </c>
      <c r="E8" s="135">
        <f>D8+'2-ф2'!E5-'1-Ф3'!E9/Исх!$C$18</f>
        <v>0</v>
      </c>
      <c r="F8" s="135">
        <f>E8+'2-ф2'!F5-'1-Ф3'!F9/Исх!$C$18</f>
        <v>0</v>
      </c>
      <c r="G8" s="135">
        <f>F8+'2-ф2'!G5-'1-Ф3'!G9/Исх!$C$18</f>
        <v>0</v>
      </c>
      <c r="H8" s="135">
        <f>G8+'2-ф2'!H5-'1-Ф3'!H9/Исх!$C$18</f>
        <v>0</v>
      </c>
      <c r="I8" s="135">
        <f>H8+'2-ф2'!I5-'1-Ф3'!I9/Исх!$C$18</f>
        <v>0</v>
      </c>
      <c r="J8" s="135">
        <f>I8+'2-ф2'!J5-'1-Ф3'!J9/Исх!$C$18</f>
        <v>0</v>
      </c>
      <c r="K8" s="135">
        <f>J8+'2-ф2'!K5-'1-Ф3'!K9/Исх!$C$18</f>
        <v>0</v>
      </c>
      <c r="L8" s="135">
        <f>K8+'2-ф2'!L5-'1-Ф3'!L9/Исх!$C$18</f>
        <v>0</v>
      </c>
      <c r="M8" s="135">
        <f>L8+'2-ф2'!M5-'1-Ф3'!M9/Исх!$C$18</f>
        <v>0</v>
      </c>
      <c r="N8" s="135">
        <f>M8+'2-ф2'!N5-'1-Ф3'!N9/Исх!$C$18</f>
        <v>0</v>
      </c>
      <c r="O8" s="135">
        <f>N8+'2-ф2'!O5-'1-Ф3'!O9/Исх!$C$18</f>
        <v>0</v>
      </c>
      <c r="P8" s="135">
        <f>O8</f>
        <v>0</v>
      </c>
      <c r="Q8" s="135">
        <f>P8+'2-ф2'!Q5-'1-Ф3'!Q9/Исх!$C$18</f>
        <v>0</v>
      </c>
      <c r="R8" s="135">
        <f>Q8+'2-ф2'!R5-'1-Ф3'!R9/Исх!$C$18</f>
        <v>0</v>
      </c>
      <c r="S8" s="135">
        <f>R8+'2-ф2'!S5-'1-Ф3'!S9/Исх!$C$18</f>
        <v>0</v>
      </c>
      <c r="T8" s="135">
        <f>S8+'2-ф2'!T5-'1-Ф3'!T9/Исх!$C$18</f>
        <v>0</v>
      </c>
      <c r="U8" s="135">
        <f>T8+'2-ф2'!U5-'1-Ф3'!U9/Исх!$C$18</f>
        <v>0</v>
      </c>
      <c r="V8" s="135">
        <f>U8+'2-ф2'!V5-'1-Ф3'!V9/Исх!$C$18</f>
        <v>0</v>
      </c>
      <c r="W8" s="135">
        <f>V8+'2-ф2'!W5-'1-Ф3'!W9/Исх!$C$18</f>
        <v>0</v>
      </c>
      <c r="X8" s="135">
        <f>W8+'2-ф2'!X5-'1-Ф3'!X9/Исх!$C$18</f>
        <v>0</v>
      </c>
      <c r="Y8" s="135">
        <f>X8+'2-ф2'!Y5-'1-Ф3'!Y9/Исх!$C$18</f>
        <v>0</v>
      </c>
      <c r="Z8" s="135">
        <f>Y8+'2-ф2'!Z5-'1-Ф3'!Z9/Исх!$C$18</f>
        <v>0</v>
      </c>
      <c r="AA8" s="135">
        <f>Z8+'2-ф2'!AA5-'1-Ф3'!AA9/Исх!$C$18</f>
        <v>0</v>
      </c>
      <c r="AB8" s="135">
        <f>AA8+'2-ф2'!AB5-'1-Ф3'!AB9/Исх!$C$18</f>
        <v>0</v>
      </c>
      <c r="AC8" s="135">
        <f>AB8</f>
        <v>0</v>
      </c>
      <c r="AD8" s="135">
        <f>AC8+'2-ф2'!AD5-'1-Ф3'!AD9/Исх!$C$18</f>
        <v>0</v>
      </c>
      <c r="AE8" s="135">
        <f>AD8+'2-ф2'!AE5-'1-Ф3'!AE9/Исх!$C$18</f>
        <v>0</v>
      </c>
      <c r="AF8" s="135">
        <f>AE8+'2-ф2'!AF5-'1-Ф3'!AF9/Исх!$C$18</f>
        <v>0</v>
      </c>
      <c r="AG8" s="135">
        <f>AF8+'2-ф2'!AG5-'1-Ф3'!AG9/Исх!$C$18</f>
        <v>0</v>
      </c>
      <c r="AH8" s="135">
        <f>AG8+'2-ф2'!AH5-'1-Ф3'!AH9/Исх!$C$18</f>
        <v>0</v>
      </c>
    </row>
    <row r="9" spans="1:34" ht="15" customHeight="1">
      <c r="A9" s="134" t="s">
        <v>147</v>
      </c>
      <c r="B9" s="130"/>
      <c r="C9" s="135"/>
      <c r="D9" s="135">
        <f>C9+'1-Ф3'!D13/Исх!$C$18-'2-ф2'!D9</f>
        <v>0</v>
      </c>
      <c r="E9" s="135">
        <f>D9+'1-Ф3'!E13/Исх!$C$18-'2-ф2'!E9</f>
        <v>0</v>
      </c>
      <c r="F9" s="135">
        <f>E9+'1-Ф3'!F13/Исх!$C$18-'2-ф2'!F9</f>
        <v>0</v>
      </c>
      <c r="G9" s="135">
        <f>F9+'1-Ф3'!G13/Исх!$C$18-'2-ф2'!G9</f>
        <v>0</v>
      </c>
      <c r="H9" s="135">
        <f>G9+'1-Ф3'!H13/Исх!$C$18-'2-ф2'!H9</f>
        <v>0</v>
      </c>
      <c r="I9" s="135">
        <f>H9+'1-Ф3'!I13/Исх!$C$18-'2-ф2'!I9</f>
        <v>0</v>
      </c>
      <c r="J9" s="135">
        <f>I9+'1-Ф3'!J13/Исх!$C$18-'2-ф2'!J9</f>
        <v>0</v>
      </c>
      <c r="K9" s="135">
        <f>J9+'1-Ф3'!K13/Исх!$C$18-'2-ф2'!K9</f>
        <v>0</v>
      </c>
      <c r="L9" s="135">
        <f>K9+'1-Ф3'!L13/Исх!$C$18-'2-ф2'!L9</f>
        <v>0</v>
      </c>
      <c r="M9" s="135">
        <f>L9+'1-Ф3'!M13/Исх!$C$18-'2-ф2'!M9</f>
        <v>0</v>
      </c>
      <c r="N9" s="135">
        <f>M9+'1-Ф3'!N13/Исх!$C$18-'2-ф2'!N9</f>
        <v>0</v>
      </c>
      <c r="O9" s="135">
        <f>N9+'1-Ф3'!O13/Исх!$C$18-'2-ф2'!O9</f>
        <v>0</v>
      </c>
      <c r="P9" s="135">
        <f>O9</f>
        <v>0</v>
      </c>
      <c r="Q9" s="135">
        <f>P9+'1-Ф3'!Q13/Исх!$C$18-'2-ф2'!Q9</f>
        <v>1149.107142857143</v>
      </c>
      <c r="R9" s="135">
        <f>Q9+'1-Ф3'!R13/Исх!$C$18-'2-ф2'!R9</f>
        <v>1149.107142857143</v>
      </c>
      <c r="S9" s="135">
        <f>R9+'1-Ф3'!S13/Исх!$C$18-'2-ф2'!S9</f>
        <v>1149.107142857143</v>
      </c>
      <c r="T9" s="135">
        <f>S9+'1-Ф3'!T13/Исх!$C$18-'2-ф2'!T9</f>
        <v>1149.107142857143</v>
      </c>
      <c r="U9" s="135">
        <f>T9+'1-Ф3'!U13/Исх!$C$18-'2-ф2'!U9</f>
        <v>1149.107142857143</v>
      </c>
      <c r="V9" s="135">
        <f>U9+'1-Ф3'!V13/Исх!$C$18-'2-ф2'!V9</f>
        <v>1149.107142857143</v>
      </c>
      <c r="W9" s="135">
        <f>V9+'1-Ф3'!W13/Исх!$C$18-'2-ф2'!W9</f>
        <v>1149.107142857143</v>
      </c>
      <c r="X9" s="135">
        <f>W9+'1-Ф3'!X13/Исх!$C$18-'2-ф2'!X9</f>
        <v>1149.107142857143</v>
      </c>
      <c r="Y9" s="135">
        <f>X9+'1-Ф3'!Y13/Исх!$C$18-'2-ф2'!Y9</f>
        <v>1149.107142857143</v>
      </c>
      <c r="Z9" s="135">
        <f>Y9+'1-Ф3'!Z13/Исх!$C$18-'2-ф2'!Z9</f>
        <v>1149.107142857143</v>
      </c>
      <c r="AA9" s="135">
        <f>Z9+'1-Ф3'!AA13/Исх!$C$18-'2-ф2'!AA9</f>
        <v>1149.107142857143</v>
      </c>
      <c r="AB9" s="135">
        <f>AA9+'1-Ф3'!AB13/Исх!$C$18-'2-ф2'!AB9</f>
        <v>1149.107142857143</v>
      </c>
      <c r="AC9" s="135">
        <f>AB9</f>
        <v>1149.107142857143</v>
      </c>
      <c r="AD9" s="135">
        <f>AC9+'1-Ф3'!AD13/Исх!$C$18-'2-ф2'!AD9</f>
        <v>1149.1071428571431</v>
      </c>
      <c r="AE9" s="135">
        <f>AD9+'1-Ф3'!AE13/Исх!$C$18-'2-ф2'!AE9</f>
        <v>1149.1071428571431</v>
      </c>
      <c r="AF9" s="135">
        <f>AE9+'1-Ф3'!AF13/Исх!$C$18-'2-ф2'!AF9</f>
        <v>1149.1071428571431</v>
      </c>
      <c r="AG9" s="135">
        <f>AF9+'1-Ф3'!AG13/Исх!$C$18-'2-ф2'!AG9</f>
        <v>1149.1071428571431</v>
      </c>
      <c r="AH9" s="135">
        <f>AG9+'1-Ф3'!AH13/Исх!$C$18-'2-ф2'!AH9</f>
        <v>1149.1071428571431</v>
      </c>
    </row>
    <row r="10" spans="1:34" ht="15" customHeight="1">
      <c r="A10" s="134" t="s">
        <v>148</v>
      </c>
      <c r="B10" s="130"/>
      <c r="C10" s="135"/>
      <c r="D10" s="135"/>
      <c r="E10" s="135"/>
      <c r="F10" s="135">
        <f>E10+'1-Ф3'!F13/Исх!$C$18*ндс</f>
        <v>0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35">
        <f>O10</f>
        <v>0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>
        <f>AB10</f>
        <v>0</v>
      </c>
      <c r="AD10" s="135"/>
      <c r="AE10" s="135"/>
      <c r="AF10" s="135"/>
      <c r="AG10" s="135"/>
      <c r="AH10" s="135"/>
    </row>
    <row r="11" spans="1:34" ht="15" customHeight="1">
      <c r="A11" s="129" t="s">
        <v>149</v>
      </c>
      <c r="B11" s="130"/>
      <c r="C11" s="131">
        <f aca="true" t="shared" si="4" ref="C11:AH11">SUM(C12:C14)</f>
        <v>0</v>
      </c>
      <c r="D11" s="131">
        <f t="shared" si="4"/>
        <v>0</v>
      </c>
      <c r="E11" s="131">
        <f t="shared" si="4"/>
        <v>0</v>
      </c>
      <c r="F11" s="131">
        <f t="shared" si="4"/>
        <v>0</v>
      </c>
      <c r="G11" s="131">
        <f t="shared" si="4"/>
        <v>0</v>
      </c>
      <c r="H11" s="131">
        <f t="shared" si="4"/>
        <v>32388.977777777774</v>
      </c>
      <c r="I11" s="131">
        <f t="shared" si="4"/>
        <v>64777.95555555555</v>
      </c>
      <c r="J11" s="131">
        <f t="shared" si="4"/>
        <v>97166.93333333333</v>
      </c>
      <c r="K11" s="131">
        <f t="shared" si="4"/>
        <v>129555.9111111111</v>
      </c>
      <c r="L11" s="131">
        <f t="shared" si="4"/>
        <v>161944.88888888888</v>
      </c>
      <c r="M11" s="131">
        <f t="shared" si="4"/>
        <v>228342.29333333328</v>
      </c>
      <c r="N11" s="131">
        <f t="shared" si="4"/>
        <v>273768.31999999995</v>
      </c>
      <c r="O11" s="131">
        <f t="shared" si="4"/>
        <v>285185.9199999999</v>
      </c>
      <c r="P11" s="131">
        <f t="shared" si="4"/>
        <v>285185.9199999999</v>
      </c>
      <c r="Q11" s="131">
        <f t="shared" si="4"/>
        <v>283666.6023809523</v>
      </c>
      <c r="R11" s="131">
        <f t="shared" si="4"/>
        <v>282197.2561904761</v>
      </c>
      <c r="S11" s="131">
        <f t="shared" si="4"/>
        <v>280633.97785714275</v>
      </c>
      <c r="T11" s="131">
        <f t="shared" si="4"/>
        <v>279070.6995238094</v>
      </c>
      <c r="U11" s="131">
        <f t="shared" si="4"/>
        <v>277319.55690476176</v>
      </c>
      <c r="V11" s="131">
        <f t="shared" si="4"/>
        <v>275098.7535714284</v>
      </c>
      <c r="W11" s="131">
        <f t="shared" si="4"/>
        <v>272596.1538095237</v>
      </c>
      <c r="X11" s="131">
        <f t="shared" si="4"/>
        <v>270093.5540476189</v>
      </c>
      <c r="Y11" s="131">
        <f t="shared" si="4"/>
        <v>267778.8185714284</v>
      </c>
      <c r="Z11" s="131">
        <f t="shared" si="4"/>
        <v>265651.9473809522</v>
      </c>
      <c r="AA11" s="131">
        <f t="shared" si="4"/>
        <v>263900.8047619046</v>
      </c>
      <c r="AB11" s="131">
        <f t="shared" si="4"/>
        <v>262055.72999999978</v>
      </c>
      <c r="AC11" s="131">
        <f t="shared" si="4"/>
        <v>262055.72999999978</v>
      </c>
      <c r="AD11" s="131">
        <f t="shared" si="4"/>
        <v>238829.01499999978</v>
      </c>
      <c r="AE11" s="131">
        <f t="shared" si="4"/>
        <v>215563.00053571406</v>
      </c>
      <c r="AF11" s="131">
        <f t="shared" si="4"/>
        <v>199626.51428571407</v>
      </c>
      <c r="AG11" s="131">
        <f t="shared" si="4"/>
        <v>185875.57142857122</v>
      </c>
      <c r="AH11" s="131">
        <f t="shared" si="4"/>
        <v>172124.62857142836</v>
      </c>
    </row>
    <row r="12" spans="1:34" ht="12.75">
      <c r="A12" s="134" t="s">
        <v>150</v>
      </c>
      <c r="B12" s="136"/>
      <c r="C12" s="135"/>
      <c r="D12" s="135">
        <f>C12+'1-Ф3'!D21/Исх!$C$18-'2-ф2'!D13</f>
        <v>0</v>
      </c>
      <c r="E12" s="135">
        <f>D12+'1-Ф3'!E21/Исх!$C$18-'2-ф2'!E13</f>
        <v>0</v>
      </c>
      <c r="F12" s="135">
        <f>E12+'1-Ф3'!F21/Исх!$C$18-'2-ф2'!F13</f>
        <v>0</v>
      </c>
      <c r="G12" s="135">
        <f>F12+'1-Ф3'!G21/Исх!$C$18-'2-ф2'!G13</f>
        <v>0</v>
      </c>
      <c r="H12" s="135">
        <f>G12+'1-Ф3'!H21/Исх!$C$18-'2-ф2'!H13</f>
        <v>28918.730158730155</v>
      </c>
      <c r="I12" s="135">
        <f>H12+'1-Ф3'!I21/Исх!$C$18-'2-ф2'!I13</f>
        <v>57837.46031746031</v>
      </c>
      <c r="J12" s="135">
        <f>I12+'1-Ф3'!J21/Исх!$C$18-'2-ф2'!J13</f>
        <v>86756.19047619047</v>
      </c>
      <c r="K12" s="135">
        <f>J12+'1-Ф3'!K21/Исх!$C$18-'2-ф2'!K13</f>
        <v>115674.92063492062</v>
      </c>
      <c r="L12" s="135">
        <f>K12+'1-Ф3'!L21/Исх!$C$18-'2-ф2'!L13</f>
        <v>144593.65079365077</v>
      </c>
      <c r="M12" s="135">
        <f>L12+'1-Ф3'!M21/Исх!$C$18-'2-ф2'!M13</f>
        <v>203877.04761904757</v>
      </c>
      <c r="N12" s="135">
        <f>M12+'1-Ф3'!N21/Исх!$C$18-'2-ф2'!N13</f>
        <v>244435.99999999994</v>
      </c>
      <c r="O12" s="135">
        <f>N12+'1-Ф3'!O21/Исх!$C$18-'2-ф2'!O13</f>
        <v>254630.28571428565</v>
      </c>
      <c r="P12" s="135">
        <f>O12</f>
        <v>254630.28571428565</v>
      </c>
      <c r="Q12" s="135">
        <f>P12+'1-Ф3'!Q21/Исх!$C$18-'2-ф2'!Q13</f>
        <v>253484.37380952373</v>
      </c>
      <c r="R12" s="135">
        <f>Q12+'1-Ф3'!R21/Исх!$C$18-'2-ф2'!R13</f>
        <v>252338.46190476182</v>
      </c>
      <c r="S12" s="135">
        <f>R12+'1-Ф3'!S21/Исх!$C$18-'2-ф2'!S13</f>
        <v>251192.5499999999</v>
      </c>
      <c r="T12" s="135">
        <f>S12+'1-Ф3'!T21/Исх!$C$18-'2-ф2'!T13</f>
        <v>250046.63809523798</v>
      </c>
      <c r="U12" s="135">
        <f>T12+'1-Ф3'!U21/Исх!$C$18-'2-ф2'!U13</f>
        <v>248900.72619047607</v>
      </c>
      <c r="V12" s="135">
        <f>U12+'1-Ф3'!V21/Исх!$C$18-'2-ф2'!V13</f>
        <v>247754.81428571415</v>
      </c>
      <c r="W12" s="135">
        <f>V12+'1-Ф3'!W21/Исх!$C$18-'2-ф2'!W13</f>
        <v>246608.90238095223</v>
      </c>
      <c r="X12" s="135">
        <f>W12+'1-Ф3'!X21/Исх!$C$18-'2-ф2'!X13</f>
        <v>245462.99047619032</v>
      </c>
      <c r="Y12" s="135">
        <f>X12+'1-Ф3'!Y21/Исх!$C$18-'2-ф2'!Y13</f>
        <v>244317.0785714284</v>
      </c>
      <c r="Z12" s="135">
        <f>Y12+'1-Ф3'!Z21/Исх!$C$18-'2-ф2'!Z13</f>
        <v>243171.16666666648</v>
      </c>
      <c r="AA12" s="135">
        <f>Z12+'1-Ф3'!AA21/Исх!$C$18-'2-ф2'!AA13</f>
        <v>242025.25476190457</v>
      </c>
      <c r="AB12" s="135">
        <f>AA12+'1-Ф3'!AB21/Исх!$C$18-'2-ф2'!AB13</f>
        <v>240879.34285714265</v>
      </c>
      <c r="AC12" s="135">
        <f>AB12</f>
        <v>240879.34285714265</v>
      </c>
      <c r="AD12" s="135">
        <f>AC12+'1-Ф3'!AD21/Исх!$C$18-'2-ф2'!AD13</f>
        <v>227128.3999999998</v>
      </c>
      <c r="AE12" s="135">
        <f>AD12+'1-Ф3'!AE21/Исх!$C$18-'2-ф2'!AE13</f>
        <v>213377.45714285693</v>
      </c>
      <c r="AF12" s="135">
        <f>AE12+'1-Ф3'!AF21/Исх!$C$18-'2-ф2'!AF13</f>
        <v>199626.51428571407</v>
      </c>
      <c r="AG12" s="135">
        <f>AF12+'1-Ф3'!AG21/Исх!$C$18-'2-ф2'!AG13</f>
        <v>185875.57142857122</v>
      </c>
      <c r="AH12" s="135">
        <f>AG12+'1-Ф3'!AH21/Исх!$C$18-'2-ф2'!AH13</f>
        <v>172124.62857142836</v>
      </c>
    </row>
    <row r="13" spans="1:34" ht="15" customHeight="1" hidden="1">
      <c r="A13" s="134" t="s">
        <v>151</v>
      </c>
      <c r="B13" s="136"/>
      <c r="C13" s="135"/>
      <c r="D13" s="135">
        <f>C13</f>
        <v>0</v>
      </c>
      <c r="E13" s="135">
        <f>D13</f>
        <v>0</v>
      </c>
      <c r="F13" s="135">
        <f aca="true" t="shared" si="5" ref="F13:AH14">E13</f>
        <v>0</v>
      </c>
      <c r="G13" s="135">
        <f t="shared" si="5"/>
        <v>0</v>
      </c>
      <c r="H13" s="135">
        <f t="shared" si="5"/>
        <v>0</v>
      </c>
      <c r="I13" s="135">
        <f t="shared" si="5"/>
        <v>0</v>
      </c>
      <c r="J13" s="135">
        <f t="shared" si="5"/>
        <v>0</v>
      </c>
      <c r="K13" s="135">
        <f t="shared" si="5"/>
        <v>0</v>
      </c>
      <c r="L13" s="135">
        <f t="shared" si="5"/>
        <v>0</v>
      </c>
      <c r="M13" s="135">
        <f t="shared" si="5"/>
        <v>0</v>
      </c>
      <c r="N13" s="135">
        <f t="shared" si="5"/>
        <v>0</v>
      </c>
      <c r="O13" s="135">
        <f t="shared" si="5"/>
        <v>0</v>
      </c>
      <c r="P13" s="135">
        <f t="shared" si="5"/>
        <v>0</v>
      </c>
      <c r="Q13" s="135">
        <f t="shared" si="5"/>
        <v>0</v>
      </c>
      <c r="R13" s="135">
        <f t="shared" si="5"/>
        <v>0</v>
      </c>
      <c r="S13" s="135">
        <f t="shared" si="5"/>
        <v>0</v>
      </c>
      <c r="T13" s="135">
        <f t="shared" si="5"/>
        <v>0</v>
      </c>
      <c r="U13" s="135">
        <f t="shared" si="5"/>
        <v>0</v>
      </c>
      <c r="V13" s="135">
        <f t="shared" si="5"/>
        <v>0</v>
      </c>
      <c r="W13" s="135">
        <f t="shared" si="5"/>
        <v>0</v>
      </c>
      <c r="X13" s="135">
        <f t="shared" si="5"/>
        <v>0</v>
      </c>
      <c r="Y13" s="135">
        <f t="shared" si="5"/>
        <v>0</v>
      </c>
      <c r="Z13" s="135">
        <f t="shared" si="5"/>
        <v>0</v>
      </c>
      <c r="AA13" s="135">
        <f t="shared" si="5"/>
        <v>0</v>
      </c>
      <c r="AB13" s="135">
        <f t="shared" si="5"/>
        <v>0</v>
      </c>
      <c r="AC13" s="135">
        <f t="shared" si="5"/>
        <v>0</v>
      </c>
      <c r="AD13" s="135">
        <f t="shared" si="5"/>
        <v>0</v>
      </c>
      <c r="AE13" s="135">
        <f t="shared" si="5"/>
        <v>0</v>
      </c>
      <c r="AF13" s="135">
        <f t="shared" si="5"/>
        <v>0</v>
      </c>
      <c r="AG13" s="135">
        <f t="shared" si="5"/>
        <v>0</v>
      </c>
      <c r="AH13" s="135">
        <f t="shared" si="5"/>
        <v>0</v>
      </c>
    </row>
    <row r="14" spans="1:34" ht="12.75">
      <c r="A14" s="134" t="s">
        <v>152</v>
      </c>
      <c r="B14" s="136"/>
      <c r="C14" s="135"/>
      <c r="D14" s="135">
        <f>IF('2-ф2'!D30&lt;0,-'2-ф2'!D30,0)</f>
        <v>0</v>
      </c>
      <c r="E14" s="135">
        <f>IF('2-ф2'!E30&lt;0,-'2-ф2'!E30,0)</f>
        <v>0</v>
      </c>
      <c r="F14" s="135">
        <f>IF('2-ф2'!F30&lt;0,-'2-ф2'!F30,0)</f>
        <v>0</v>
      </c>
      <c r="G14" s="135">
        <f>IF('2-ф2'!G30&lt;0,-'2-ф2'!G30,0)</f>
        <v>0</v>
      </c>
      <c r="H14" s="135">
        <f>IF('2-ф2'!H30&lt;0,-'2-ф2'!H30,0)</f>
        <v>3470.2476190476186</v>
      </c>
      <c r="I14" s="135">
        <f>IF('2-ф2'!I30&lt;0,-'2-ф2'!I30,0)</f>
        <v>6940.495238095237</v>
      </c>
      <c r="J14" s="135">
        <f>IF('2-ф2'!J30&lt;0,-'2-ф2'!J30,0)</f>
        <v>10410.742857142855</v>
      </c>
      <c r="K14" s="135">
        <f>IF('2-ф2'!K30&lt;0,-'2-ф2'!K30,0)</f>
        <v>13880.990476190475</v>
      </c>
      <c r="L14" s="135">
        <f>IF('2-ф2'!L30&lt;0,-'2-ф2'!L30,0)</f>
        <v>17351.23809523809</v>
      </c>
      <c r="M14" s="135">
        <f>IF('2-ф2'!M30&lt;0,-'2-ф2'!M30,0)</f>
        <v>24465.24571428571</v>
      </c>
      <c r="N14" s="135">
        <f>IF('2-ф2'!N30&lt;0,-'2-ф2'!N30,0)</f>
        <v>29332.319999999992</v>
      </c>
      <c r="O14" s="135">
        <f>IF('2-ф2'!O30&lt;0,-'2-ф2'!O30,0)</f>
        <v>30555.634285714277</v>
      </c>
      <c r="P14" s="135">
        <f t="shared" si="5"/>
        <v>30555.634285714277</v>
      </c>
      <c r="Q14" s="135">
        <f>IF('2-ф2'!Q30&lt;0,-'2-ф2'!Q30,0)</f>
        <v>30182.228571428564</v>
      </c>
      <c r="R14" s="135">
        <f>IF('2-ф2'!R30&lt;0,-'2-ф2'!R30,0)</f>
        <v>29858.794285714277</v>
      </c>
      <c r="S14" s="135">
        <f>IF('2-ф2'!S30&lt;0,-'2-ф2'!S30,0)</f>
        <v>29441.427857142848</v>
      </c>
      <c r="T14" s="135">
        <f>IF('2-ф2'!T30&lt;0,-'2-ф2'!T30,0)</f>
        <v>29024.06142857142</v>
      </c>
      <c r="U14" s="135">
        <f>IF('2-ф2'!U30&lt;0,-'2-ф2'!U30,0)</f>
        <v>28418.830714285705</v>
      </c>
      <c r="V14" s="135">
        <f>IF('2-ф2'!V30&lt;0,-'2-ф2'!V30,0)</f>
        <v>27343.939285714278</v>
      </c>
      <c r="W14" s="135">
        <f>IF('2-ф2'!W30&lt;0,-'2-ф2'!W30,0)</f>
        <v>25987.25142857142</v>
      </c>
      <c r="X14" s="135">
        <f>IF('2-ф2'!X30&lt;0,-'2-ф2'!X30,0)</f>
        <v>24630.563571428564</v>
      </c>
      <c r="Y14" s="135">
        <f>IF('2-ф2'!Y30&lt;0,-'2-ф2'!Y30,0)</f>
        <v>23461.73999999999</v>
      </c>
      <c r="Z14" s="135">
        <f>IF('2-ф2'!Z30&lt;0,-'2-ф2'!Z30,0)</f>
        <v>22480.780714285705</v>
      </c>
      <c r="AA14" s="135">
        <f>IF('2-ф2'!AA30&lt;0,-'2-ф2'!AA30,0)</f>
        <v>21875.549999999992</v>
      </c>
      <c r="AB14" s="135">
        <f>IF('2-ф2'!AB30&lt;0,-'2-ф2'!AB30,0)</f>
        <v>21176.387142857136</v>
      </c>
      <c r="AC14" s="135">
        <f t="shared" si="5"/>
        <v>21176.387142857136</v>
      </c>
      <c r="AD14" s="135">
        <f>IF('2-ф2'!AD30&lt;0,-'2-ф2'!AD30,0)</f>
        <v>11700.614999999994</v>
      </c>
      <c r="AE14" s="135">
        <f>IF('2-ф2'!AE30&lt;0,-'2-ф2'!AE30,0)</f>
        <v>2185.5433928571365</v>
      </c>
      <c r="AF14" s="135">
        <f>IF('2-ф2'!AF30&lt;0,-'2-ф2'!AF30,0)</f>
        <v>0</v>
      </c>
      <c r="AG14" s="135">
        <f>IF('2-ф2'!AG30&lt;0,-'2-ф2'!AG30,0)</f>
        <v>0</v>
      </c>
      <c r="AH14" s="135">
        <f>IF('2-ф2'!AH30&lt;0,-'2-ф2'!AH30,0)</f>
        <v>0</v>
      </c>
    </row>
    <row r="15" spans="1:183" ht="12.75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</row>
    <row r="16" spans="1:41" s="133" customFormat="1" ht="15" customHeight="1">
      <c r="A16" s="129" t="s">
        <v>153</v>
      </c>
      <c r="B16" s="130"/>
      <c r="C16" s="130">
        <f aca="true" t="shared" si="6" ref="C16:AH16">C21+C24+C17</f>
        <v>0</v>
      </c>
      <c r="D16" s="130">
        <f t="shared" si="6"/>
        <v>0</v>
      </c>
      <c r="E16" s="130">
        <f t="shared" si="6"/>
        <v>0</v>
      </c>
      <c r="F16" s="130">
        <f t="shared" si="6"/>
        <v>0</v>
      </c>
      <c r="G16" s="130">
        <f t="shared" si="6"/>
        <v>0</v>
      </c>
      <c r="H16" s="130">
        <f t="shared" si="6"/>
        <v>32388.977777777778</v>
      </c>
      <c r="I16" s="130">
        <f t="shared" si="6"/>
        <v>64777.95555555555</v>
      </c>
      <c r="J16" s="130">
        <f t="shared" si="6"/>
        <v>97166.93333333333</v>
      </c>
      <c r="K16" s="130">
        <f t="shared" si="6"/>
        <v>129555.91111111111</v>
      </c>
      <c r="L16" s="130">
        <f t="shared" si="6"/>
        <v>161944.8888888889</v>
      </c>
      <c r="M16" s="130">
        <f t="shared" si="6"/>
        <v>228342.29333333333</v>
      </c>
      <c r="N16" s="130">
        <f t="shared" si="6"/>
        <v>273768.32000000007</v>
      </c>
      <c r="O16" s="130">
        <f t="shared" si="6"/>
        <v>293352.58666666667</v>
      </c>
      <c r="P16" s="130">
        <f t="shared" si="6"/>
        <v>293352.58666666667</v>
      </c>
      <c r="Q16" s="130">
        <f t="shared" si="6"/>
        <v>297884.8738926191</v>
      </c>
      <c r="R16" s="130">
        <f t="shared" si="6"/>
        <v>292041.8316537157</v>
      </c>
      <c r="S16" s="130">
        <f t="shared" si="6"/>
        <v>287012.9761698876</v>
      </c>
      <c r="T16" s="130">
        <f t="shared" si="6"/>
        <v>282015.53958399175</v>
      </c>
      <c r="U16" s="130">
        <f t="shared" si="6"/>
        <v>278615.05761031405</v>
      </c>
      <c r="V16" s="130">
        <f t="shared" si="6"/>
        <v>279159.833820283</v>
      </c>
      <c r="W16" s="130">
        <f t="shared" si="6"/>
        <v>282084.3324996129</v>
      </c>
      <c r="X16" s="130">
        <f t="shared" si="6"/>
        <v>284802.7886976354</v>
      </c>
      <c r="Y16" s="130">
        <f t="shared" si="6"/>
        <v>285311.8513477152</v>
      </c>
      <c r="Z16" s="130">
        <f t="shared" si="6"/>
        <v>284593.6205447123</v>
      </c>
      <c r="AA16" s="130">
        <f t="shared" si="6"/>
        <v>281395.66771719814</v>
      </c>
      <c r="AB16" s="130">
        <f t="shared" si="6"/>
        <v>278849.06429374416</v>
      </c>
      <c r="AC16" s="130">
        <f t="shared" si="6"/>
        <v>278849.06429374416</v>
      </c>
      <c r="AD16" s="130">
        <f t="shared" si="6"/>
        <v>257654.15947184776</v>
      </c>
      <c r="AE16" s="130">
        <f t="shared" si="6"/>
        <v>240505.71943461715</v>
      </c>
      <c r="AF16" s="130">
        <f t="shared" si="6"/>
        <v>227416.84400348095</v>
      </c>
      <c r="AG16" s="130">
        <f t="shared" si="6"/>
        <v>218401.28799093905</v>
      </c>
      <c r="AH16" s="130">
        <f t="shared" si="6"/>
        <v>219732.13841824417</v>
      </c>
      <c r="AI16" s="132"/>
      <c r="AJ16" s="132"/>
      <c r="AK16" s="132"/>
      <c r="AL16" s="132"/>
      <c r="AM16" s="132"/>
      <c r="AN16" s="132"/>
      <c r="AO16" s="132"/>
    </row>
    <row r="17" spans="1:34" ht="15" customHeight="1">
      <c r="A17" s="129" t="s">
        <v>154</v>
      </c>
      <c r="B17" s="130"/>
      <c r="C17" s="130">
        <f aca="true" t="shared" si="7" ref="C17:AH17">SUM(C18:C20)</f>
        <v>0</v>
      </c>
      <c r="D17" s="130">
        <f t="shared" si="7"/>
        <v>0</v>
      </c>
      <c r="E17" s="130">
        <f t="shared" si="7"/>
        <v>0</v>
      </c>
      <c r="F17" s="130">
        <f t="shared" si="7"/>
        <v>0</v>
      </c>
      <c r="G17" s="130">
        <f t="shared" si="7"/>
        <v>0</v>
      </c>
      <c r="H17" s="130">
        <f t="shared" si="7"/>
        <v>0</v>
      </c>
      <c r="I17" s="130">
        <f t="shared" si="7"/>
        <v>226.72284444444446</v>
      </c>
      <c r="J17" s="130">
        <f t="shared" si="7"/>
        <v>680.1685333333334</v>
      </c>
      <c r="K17" s="130">
        <f t="shared" si="7"/>
        <v>1360.3370666666667</v>
      </c>
      <c r="L17" s="130">
        <f t="shared" si="7"/>
        <v>2267.2284444444444</v>
      </c>
      <c r="M17" s="130">
        <f t="shared" si="7"/>
        <v>3400.8426666666664</v>
      </c>
      <c r="N17" s="130">
        <f t="shared" si="7"/>
        <v>4999.238719999999</v>
      </c>
      <c r="O17" s="130">
        <f t="shared" si="7"/>
        <v>6915.616959999999</v>
      </c>
      <c r="P17" s="130">
        <f t="shared" si="7"/>
        <v>6915.616959999999</v>
      </c>
      <c r="Q17" s="130">
        <f t="shared" si="7"/>
        <v>0</v>
      </c>
      <c r="R17" s="130">
        <f t="shared" si="7"/>
        <v>0</v>
      </c>
      <c r="S17" s="130">
        <f t="shared" si="7"/>
        <v>0</v>
      </c>
      <c r="T17" s="130">
        <f t="shared" si="7"/>
        <v>0</v>
      </c>
      <c r="U17" s="130">
        <f t="shared" si="7"/>
        <v>0</v>
      </c>
      <c r="V17" s="130">
        <f t="shared" si="7"/>
        <v>0</v>
      </c>
      <c r="W17" s="130">
        <f t="shared" si="7"/>
        <v>0</v>
      </c>
      <c r="X17" s="130">
        <f t="shared" si="7"/>
        <v>0</v>
      </c>
      <c r="Y17" s="130">
        <f t="shared" si="7"/>
        <v>0</v>
      </c>
      <c r="Z17" s="130">
        <f t="shared" si="7"/>
        <v>0</v>
      </c>
      <c r="AA17" s="130">
        <f t="shared" si="7"/>
        <v>0</v>
      </c>
      <c r="AB17" s="130">
        <f t="shared" si="7"/>
        <v>0</v>
      </c>
      <c r="AC17" s="130">
        <f t="shared" si="7"/>
        <v>0</v>
      </c>
      <c r="AD17" s="130">
        <f t="shared" si="7"/>
        <v>0</v>
      </c>
      <c r="AE17" s="130">
        <f t="shared" si="7"/>
        <v>0</v>
      </c>
      <c r="AF17" s="130">
        <f t="shared" si="7"/>
        <v>0</v>
      </c>
      <c r="AG17" s="130">
        <f t="shared" si="7"/>
        <v>0</v>
      </c>
      <c r="AH17" s="130">
        <f t="shared" si="7"/>
        <v>0</v>
      </c>
    </row>
    <row r="18" spans="1:34" ht="12.75" hidden="1">
      <c r="A18" s="134" t="s">
        <v>155</v>
      </c>
      <c r="B18" s="136"/>
      <c r="C18" s="136"/>
      <c r="D18" s="136">
        <f>C18</f>
        <v>0</v>
      </c>
      <c r="E18" s="136">
        <f>D18</f>
        <v>0</v>
      </c>
      <c r="F18" s="136">
        <f aca="true" t="shared" si="8" ref="F18:O18">E18</f>
        <v>0</v>
      </c>
      <c r="G18" s="136">
        <f t="shared" si="8"/>
        <v>0</v>
      </c>
      <c r="H18" s="136">
        <f t="shared" si="8"/>
        <v>0</v>
      </c>
      <c r="I18" s="136">
        <f t="shared" si="8"/>
        <v>0</v>
      </c>
      <c r="J18" s="136">
        <f t="shared" si="8"/>
        <v>0</v>
      </c>
      <c r="K18" s="136">
        <f t="shared" si="8"/>
        <v>0</v>
      </c>
      <c r="L18" s="136">
        <f t="shared" si="8"/>
        <v>0</v>
      </c>
      <c r="M18" s="136">
        <f t="shared" si="8"/>
        <v>0</v>
      </c>
      <c r="N18" s="136">
        <f t="shared" si="8"/>
        <v>0</v>
      </c>
      <c r="O18" s="136">
        <f t="shared" si="8"/>
        <v>0</v>
      </c>
      <c r="P18" s="136">
        <f>O18</f>
        <v>0</v>
      </c>
      <c r="Q18" s="136">
        <f>P18</f>
        <v>0</v>
      </c>
      <c r="R18" s="136">
        <f>Q18</f>
        <v>0</v>
      </c>
      <c r="S18" s="136">
        <f>R18</f>
        <v>0</v>
      </c>
      <c r="T18" s="136">
        <f>S18</f>
        <v>0</v>
      </c>
      <c r="U18" s="136">
        <f aca="true" t="shared" si="9" ref="U18:AF18">T18</f>
        <v>0</v>
      </c>
      <c r="V18" s="136">
        <f t="shared" si="9"/>
        <v>0</v>
      </c>
      <c r="W18" s="136">
        <f t="shared" si="9"/>
        <v>0</v>
      </c>
      <c r="X18" s="136">
        <f t="shared" si="9"/>
        <v>0</v>
      </c>
      <c r="Y18" s="136">
        <f t="shared" si="9"/>
        <v>0</v>
      </c>
      <c r="Z18" s="136">
        <f t="shared" si="9"/>
        <v>0</v>
      </c>
      <c r="AA18" s="136">
        <f t="shared" si="9"/>
        <v>0</v>
      </c>
      <c r="AB18" s="136">
        <f t="shared" si="9"/>
        <v>0</v>
      </c>
      <c r="AC18" s="136">
        <f t="shared" si="9"/>
        <v>0</v>
      </c>
      <c r="AD18" s="136">
        <f t="shared" si="9"/>
        <v>0</v>
      </c>
      <c r="AE18" s="136">
        <f t="shared" si="9"/>
        <v>0</v>
      </c>
      <c r="AF18" s="136">
        <f t="shared" si="9"/>
        <v>0</v>
      </c>
      <c r="AG18" s="136">
        <f>AF18</f>
        <v>0</v>
      </c>
      <c r="AH18" s="136">
        <f>AG18</f>
        <v>0</v>
      </c>
    </row>
    <row r="19" spans="1:35" ht="25.5">
      <c r="A19" s="134" t="s">
        <v>156</v>
      </c>
      <c r="B19" s="136"/>
      <c r="C19" s="136"/>
      <c r="D19" s="136">
        <f>C19+'2-ф2'!D14-'1-Ф3'!D15-кр!C8</f>
        <v>0</v>
      </c>
      <c r="E19" s="136">
        <f>D19+'2-ф2'!E14-'1-Ф3'!E15-кр!D8</f>
        <v>0</v>
      </c>
      <c r="F19" s="136">
        <f>E19+'2-ф2'!F14-'1-Ф3'!F15-кр!E8</f>
        <v>0</v>
      </c>
      <c r="G19" s="136">
        <f>F19+'2-ф2'!G14-'1-Ф3'!G15-кр!F8</f>
        <v>0</v>
      </c>
      <c r="H19" s="136">
        <f>G19+'2-ф2'!H14-'1-Ф3'!H15-кр!G8</f>
        <v>0</v>
      </c>
      <c r="I19" s="136">
        <f>H19+'2-ф2'!I14-'1-Ф3'!I15-кр!H8</f>
        <v>226.72284444444446</v>
      </c>
      <c r="J19" s="136">
        <f>I19+'2-ф2'!J14-'1-Ф3'!J15-кр!I8</f>
        <v>680.1685333333334</v>
      </c>
      <c r="K19" s="136">
        <f>J19+'2-ф2'!K14-'1-Ф3'!K15-кр!J8</f>
        <v>1360.3370666666667</v>
      </c>
      <c r="L19" s="136">
        <f>K19+'2-ф2'!L14-'1-Ф3'!L15-кр!K8</f>
        <v>2267.2284444444444</v>
      </c>
      <c r="M19" s="136">
        <f>L19+'2-ф2'!M14-'1-Ф3'!M15-кр!L8</f>
        <v>3400.8426666666664</v>
      </c>
      <c r="N19" s="136">
        <f>M19+'2-ф2'!N14-'1-Ф3'!N15-кр!M8</f>
        <v>4999.238719999999</v>
      </c>
      <c r="O19" s="136">
        <f>N19+'2-ф2'!O14-'1-Ф3'!O15-кр!N8</f>
        <v>6915.616959999999</v>
      </c>
      <c r="P19" s="136">
        <f>O19</f>
        <v>6915.616959999999</v>
      </c>
      <c r="Q19" s="136">
        <f>P19+'2-ф2'!Q14-'1-Ф3'!Q15-кр!P8</f>
        <v>0</v>
      </c>
      <c r="R19" s="136">
        <f>Q19+'2-ф2'!R14-'1-Ф3'!R15</f>
        <v>0</v>
      </c>
      <c r="S19" s="136">
        <f>R19+'2-ф2'!S14-'1-Ф3'!S15</f>
        <v>0</v>
      </c>
      <c r="T19" s="136">
        <f>S19+'2-ф2'!T14-'1-Ф3'!T15</f>
        <v>0</v>
      </c>
      <c r="U19" s="136">
        <f>T19+'2-ф2'!U14-'1-Ф3'!U15</f>
        <v>0</v>
      </c>
      <c r="V19" s="136">
        <f>U19+'2-ф2'!V14-'1-Ф3'!V15</f>
        <v>0</v>
      </c>
      <c r="W19" s="136">
        <f>V19+'2-ф2'!W14-'1-Ф3'!W15</f>
        <v>0</v>
      </c>
      <c r="X19" s="136">
        <f>W19+'2-ф2'!X14-'1-Ф3'!X15</f>
        <v>0</v>
      </c>
      <c r="Y19" s="136">
        <f>X19+'2-ф2'!Y14-'1-Ф3'!Y15</f>
        <v>0</v>
      </c>
      <c r="Z19" s="136">
        <f>Y19+'2-ф2'!Z14-'1-Ф3'!Z15</f>
        <v>0</v>
      </c>
      <c r="AA19" s="136">
        <f>Z19+'2-ф2'!AA14-'1-Ф3'!AA15</f>
        <v>0</v>
      </c>
      <c r="AB19" s="136">
        <f>AA19+'2-ф2'!AB14-'1-Ф3'!AB15</f>
        <v>0</v>
      </c>
      <c r="AC19" s="136">
        <f>AB19</f>
        <v>0</v>
      </c>
      <c r="AD19" s="136">
        <f>AC19+'2-ф2'!AD14-'1-Ф3'!AD15</f>
        <v>0</v>
      </c>
      <c r="AE19" s="136">
        <f>AD19+'2-ф2'!AE14-'1-Ф3'!AE15</f>
        <v>0</v>
      </c>
      <c r="AF19" s="136">
        <f>AE19+'2-ф2'!AF14-'1-Ф3'!AF15</f>
        <v>0</v>
      </c>
      <c r="AG19" s="136">
        <f>AF19+'2-ф2'!AG14-'1-Ф3'!AG15</f>
        <v>0</v>
      </c>
      <c r="AH19" s="136">
        <f>AG19+'2-ф2'!AH14-'1-Ф3'!AH15</f>
        <v>0</v>
      </c>
      <c r="AI19" s="123"/>
    </row>
    <row r="20" spans="1:34" ht="12.75">
      <c r="A20" s="134" t="s">
        <v>158</v>
      </c>
      <c r="B20" s="136"/>
      <c r="C20" s="136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6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6">
        <f>AB20</f>
        <v>0</v>
      </c>
      <c r="AD20" s="136"/>
      <c r="AE20" s="136"/>
      <c r="AF20" s="136"/>
      <c r="AG20" s="136"/>
      <c r="AH20" s="136"/>
    </row>
    <row r="21" spans="1:34" ht="15" customHeight="1">
      <c r="A21" s="129" t="s">
        <v>159</v>
      </c>
      <c r="B21" s="130"/>
      <c r="C21" s="130">
        <f aca="true" t="shared" si="10" ref="C21:AH21">SUM(C22:C23)</f>
        <v>0</v>
      </c>
      <c r="D21" s="130">
        <f t="shared" si="10"/>
        <v>0</v>
      </c>
      <c r="E21" s="130">
        <f t="shared" si="10"/>
        <v>0</v>
      </c>
      <c r="F21" s="130">
        <f t="shared" si="10"/>
        <v>0</v>
      </c>
      <c r="G21" s="130">
        <f t="shared" si="10"/>
        <v>0</v>
      </c>
      <c r="H21" s="130">
        <f t="shared" si="10"/>
        <v>22672.284444444445</v>
      </c>
      <c r="I21" s="130">
        <f t="shared" si="10"/>
        <v>45344.56888888889</v>
      </c>
      <c r="J21" s="130">
        <f t="shared" si="10"/>
        <v>68016.85333333333</v>
      </c>
      <c r="K21" s="130">
        <f t="shared" si="10"/>
        <v>90689.13777777778</v>
      </c>
      <c r="L21" s="130">
        <f t="shared" si="10"/>
        <v>113361.42222222223</v>
      </c>
      <c r="M21" s="130">
        <f t="shared" si="10"/>
        <v>159839.60533333334</v>
      </c>
      <c r="N21" s="130">
        <f t="shared" si="10"/>
        <v>191637.82400000002</v>
      </c>
      <c r="O21" s="130">
        <f t="shared" si="10"/>
        <v>207796.8106666667</v>
      </c>
      <c r="P21" s="130">
        <f t="shared" si="10"/>
        <v>207796.8106666667</v>
      </c>
      <c r="Q21" s="130">
        <f t="shared" si="10"/>
        <v>216790.39573333337</v>
      </c>
      <c r="R21" s="130">
        <f t="shared" si="10"/>
        <v>213648.50594009666</v>
      </c>
      <c r="S21" s="130">
        <f t="shared" si="10"/>
        <v>210506.61614685995</v>
      </c>
      <c r="T21" s="130">
        <f t="shared" si="10"/>
        <v>207364.72635362323</v>
      </c>
      <c r="U21" s="130">
        <f t="shared" si="10"/>
        <v>204222.83656038652</v>
      </c>
      <c r="V21" s="130">
        <f t="shared" si="10"/>
        <v>201080.9467671498</v>
      </c>
      <c r="W21" s="130">
        <f t="shared" si="10"/>
        <v>197939.0569739131</v>
      </c>
      <c r="X21" s="130">
        <f t="shared" si="10"/>
        <v>194797.1671806764</v>
      </c>
      <c r="Y21" s="130">
        <f t="shared" si="10"/>
        <v>191655.27738743968</v>
      </c>
      <c r="Z21" s="130">
        <f t="shared" si="10"/>
        <v>188513.38759420297</v>
      </c>
      <c r="AA21" s="130">
        <f t="shared" si="10"/>
        <v>185371.49780096626</v>
      </c>
      <c r="AB21" s="130">
        <f t="shared" si="10"/>
        <v>182229.60800772955</v>
      </c>
      <c r="AC21" s="130">
        <f t="shared" si="10"/>
        <v>182229.60800772955</v>
      </c>
      <c r="AD21" s="130">
        <f t="shared" si="10"/>
        <v>144526.93048888902</v>
      </c>
      <c r="AE21" s="130">
        <f t="shared" si="10"/>
        <v>106824.25297004849</v>
      </c>
      <c r="AF21" s="130">
        <f t="shared" si="10"/>
        <v>69121.57545120796</v>
      </c>
      <c r="AG21" s="130">
        <f t="shared" si="10"/>
        <v>31418.897932367352</v>
      </c>
      <c r="AH21" s="130">
        <f t="shared" si="10"/>
        <v>2.0463630789890885E-10</v>
      </c>
    </row>
    <row r="22" spans="1:34" ht="12.75">
      <c r="A22" s="134" t="s">
        <v>157</v>
      </c>
      <c r="B22" s="136"/>
      <c r="C22" s="130"/>
      <c r="D22" s="136">
        <f>кр!C12</f>
        <v>0</v>
      </c>
      <c r="E22" s="136">
        <f>кр!D12</f>
        <v>0</v>
      </c>
      <c r="F22" s="136">
        <f>кр!E12</f>
        <v>0</v>
      </c>
      <c r="G22" s="136">
        <f>кр!F12</f>
        <v>0</v>
      </c>
      <c r="H22" s="136">
        <f>кр!G12</f>
        <v>22672.284444444445</v>
      </c>
      <c r="I22" s="136">
        <f>кр!H12</f>
        <v>45344.56888888889</v>
      </c>
      <c r="J22" s="136">
        <f>кр!I12</f>
        <v>68016.85333333333</v>
      </c>
      <c r="K22" s="136">
        <f>кр!J12</f>
        <v>90689.13777777778</v>
      </c>
      <c r="L22" s="136">
        <f>кр!K12</f>
        <v>113361.42222222223</v>
      </c>
      <c r="M22" s="136">
        <f>кр!L12</f>
        <v>159839.60533333334</v>
      </c>
      <c r="N22" s="136">
        <f>кр!M12</f>
        <v>191637.82400000002</v>
      </c>
      <c r="O22" s="136">
        <f>кр!N12</f>
        <v>207796.8106666667</v>
      </c>
      <c r="P22" s="136">
        <f>кр!O12</f>
        <v>207796.8106666667</v>
      </c>
      <c r="Q22" s="136">
        <f>кр!P12</f>
        <v>216790.39573333337</v>
      </c>
      <c r="R22" s="136">
        <f>кр!Q12</f>
        <v>213648.50594009666</v>
      </c>
      <c r="S22" s="136">
        <f>кр!R12</f>
        <v>210506.61614685995</v>
      </c>
      <c r="T22" s="136">
        <f>кр!S12</f>
        <v>207364.72635362323</v>
      </c>
      <c r="U22" s="136">
        <f>кр!T12</f>
        <v>204222.83656038652</v>
      </c>
      <c r="V22" s="136">
        <f>кр!U12</f>
        <v>201080.9467671498</v>
      </c>
      <c r="W22" s="136">
        <f>кр!V12</f>
        <v>197939.0569739131</v>
      </c>
      <c r="X22" s="136">
        <f>кр!W12</f>
        <v>194797.1671806764</v>
      </c>
      <c r="Y22" s="136">
        <f>кр!X12</f>
        <v>191655.27738743968</v>
      </c>
      <c r="Z22" s="136">
        <f>кр!Y12</f>
        <v>188513.38759420297</v>
      </c>
      <c r="AA22" s="136">
        <f>кр!Z12</f>
        <v>185371.49780096626</v>
      </c>
      <c r="AB22" s="136">
        <f>кр!AA12</f>
        <v>182229.60800772955</v>
      </c>
      <c r="AC22" s="136">
        <f>кр!AB12</f>
        <v>182229.60800772955</v>
      </c>
      <c r="AD22" s="136">
        <f>кр!AO12</f>
        <v>144526.93048888902</v>
      </c>
      <c r="AE22" s="136">
        <f>кр!BB12</f>
        <v>106824.25297004849</v>
      </c>
      <c r="AF22" s="136">
        <f>кр!BO12</f>
        <v>69121.57545120796</v>
      </c>
      <c r="AG22" s="136">
        <f>кр!CB12</f>
        <v>31418.897932367352</v>
      </c>
      <c r="AH22" s="136">
        <f>кр!CO12</f>
        <v>2.0463630789890885E-10</v>
      </c>
    </row>
    <row r="23" spans="1:34" ht="15" customHeight="1" hidden="1">
      <c r="A23" s="134" t="s">
        <v>160</v>
      </c>
      <c r="B23" s="136"/>
      <c r="C23" s="136"/>
      <c r="D23" s="136">
        <f>C23</f>
        <v>0</v>
      </c>
      <c r="E23" s="136">
        <f>D23</f>
        <v>0</v>
      </c>
      <c r="F23" s="136">
        <f aca="true" t="shared" si="11" ref="F23:AH23">E23</f>
        <v>0</v>
      </c>
      <c r="G23" s="136">
        <f t="shared" si="11"/>
        <v>0</v>
      </c>
      <c r="H23" s="136">
        <f t="shared" si="11"/>
        <v>0</v>
      </c>
      <c r="I23" s="136">
        <f t="shared" si="11"/>
        <v>0</v>
      </c>
      <c r="J23" s="136">
        <f t="shared" si="11"/>
        <v>0</v>
      </c>
      <c r="K23" s="136">
        <f t="shared" si="11"/>
        <v>0</v>
      </c>
      <c r="L23" s="136">
        <f t="shared" si="11"/>
        <v>0</v>
      </c>
      <c r="M23" s="136">
        <f t="shared" si="11"/>
        <v>0</v>
      </c>
      <c r="N23" s="136">
        <f t="shared" si="11"/>
        <v>0</v>
      </c>
      <c r="O23" s="136">
        <f t="shared" si="11"/>
        <v>0</v>
      </c>
      <c r="P23" s="136">
        <f t="shared" si="11"/>
        <v>0</v>
      </c>
      <c r="Q23" s="136">
        <f t="shared" si="11"/>
        <v>0</v>
      </c>
      <c r="R23" s="136">
        <f t="shared" si="11"/>
        <v>0</v>
      </c>
      <c r="S23" s="136">
        <f t="shared" si="11"/>
        <v>0</v>
      </c>
      <c r="T23" s="136">
        <f t="shared" si="11"/>
        <v>0</v>
      </c>
      <c r="U23" s="136">
        <f t="shared" si="11"/>
        <v>0</v>
      </c>
      <c r="V23" s="136">
        <f t="shared" si="11"/>
        <v>0</v>
      </c>
      <c r="W23" s="136">
        <f t="shared" si="11"/>
        <v>0</v>
      </c>
      <c r="X23" s="136">
        <f t="shared" si="11"/>
        <v>0</v>
      </c>
      <c r="Y23" s="136">
        <f t="shared" si="11"/>
        <v>0</v>
      </c>
      <c r="Z23" s="136">
        <f t="shared" si="11"/>
        <v>0</v>
      </c>
      <c r="AA23" s="136">
        <f t="shared" si="11"/>
        <v>0</v>
      </c>
      <c r="AB23" s="136">
        <f t="shared" si="11"/>
        <v>0</v>
      </c>
      <c r="AC23" s="130">
        <f>AB23</f>
        <v>0</v>
      </c>
      <c r="AD23" s="136">
        <f t="shared" si="11"/>
        <v>0</v>
      </c>
      <c r="AE23" s="136">
        <f t="shared" si="11"/>
        <v>0</v>
      </c>
      <c r="AF23" s="136">
        <f t="shared" si="11"/>
        <v>0</v>
      </c>
      <c r="AG23" s="136">
        <f t="shared" si="11"/>
        <v>0</v>
      </c>
      <c r="AH23" s="136">
        <f t="shared" si="11"/>
        <v>0</v>
      </c>
    </row>
    <row r="24" spans="1:34" s="133" customFormat="1" ht="15" customHeight="1">
      <c r="A24" s="129" t="s">
        <v>161</v>
      </c>
      <c r="B24" s="130"/>
      <c r="C24" s="130">
        <f aca="true" t="shared" si="12" ref="C24:AH24">SUM(C25:C26)</f>
        <v>0</v>
      </c>
      <c r="D24" s="130">
        <f t="shared" si="12"/>
        <v>0</v>
      </c>
      <c r="E24" s="130">
        <f t="shared" si="12"/>
        <v>0</v>
      </c>
      <c r="F24" s="130">
        <f t="shared" si="12"/>
        <v>0</v>
      </c>
      <c r="G24" s="130">
        <f t="shared" si="12"/>
        <v>0</v>
      </c>
      <c r="H24" s="130">
        <f t="shared" si="12"/>
        <v>9716.693333333333</v>
      </c>
      <c r="I24" s="130">
        <f t="shared" si="12"/>
        <v>19206.66382222222</v>
      </c>
      <c r="J24" s="130">
        <f t="shared" si="12"/>
        <v>28469.911466666665</v>
      </c>
      <c r="K24" s="130">
        <f t="shared" si="12"/>
        <v>37506.436266666664</v>
      </c>
      <c r="L24" s="130">
        <f t="shared" si="12"/>
        <v>46316.238222222215</v>
      </c>
      <c r="M24" s="130">
        <f t="shared" si="12"/>
        <v>65101.84533333333</v>
      </c>
      <c r="N24" s="130">
        <f t="shared" si="12"/>
        <v>77131.25728</v>
      </c>
      <c r="O24" s="130">
        <f t="shared" si="12"/>
        <v>78640.15904</v>
      </c>
      <c r="P24" s="130">
        <f t="shared" si="12"/>
        <v>78640.15904</v>
      </c>
      <c r="Q24" s="130">
        <f t="shared" si="12"/>
        <v>81094.47815928572</v>
      </c>
      <c r="R24" s="130">
        <f t="shared" si="12"/>
        <v>78393.32571361905</v>
      </c>
      <c r="S24" s="130">
        <f t="shared" si="12"/>
        <v>76506.3600230276</v>
      </c>
      <c r="T24" s="130">
        <f t="shared" si="12"/>
        <v>74650.81323036853</v>
      </c>
      <c r="U24" s="130">
        <f t="shared" si="12"/>
        <v>74392.22104992754</v>
      </c>
      <c r="V24" s="130">
        <f t="shared" si="12"/>
        <v>78078.88705313319</v>
      </c>
      <c r="W24" s="130">
        <f t="shared" si="12"/>
        <v>84145.27552569979</v>
      </c>
      <c r="X24" s="130">
        <f t="shared" si="12"/>
        <v>90005.621516959</v>
      </c>
      <c r="Y24" s="130">
        <f t="shared" si="12"/>
        <v>93656.5739602755</v>
      </c>
      <c r="Z24" s="130">
        <f t="shared" si="12"/>
        <v>96080.23295050932</v>
      </c>
      <c r="AA24" s="130">
        <f t="shared" si="12"/>
        <v>96024.16991623188</v>
      </c>
      <c r="AB24" s="130">
        <f t="shared" si="12"/>
        <v>96619.45628601463</v>
      </c>
      <c r="AC24" s="130">
        <f t="shared" si="12"/>
        <v>96619.45628601463</v>
      </c>
      <c r="AD24" s="130">
        <f t="shared" si="12"/>
        <v>113127.22898295872</v>
      </c>
      <c r="AE24" s="130">
        <f t="shared" si="12"/>
        <v>133681.46646456866</v>
      </c>
      <c r="AF24" s="130">
        <f t="shared" si="12"/>
        <v>158295.268552273</v>
      </c>
      <c r="AG24" s="130">
        <f t="shared" si="12"/>
        <v>186982.3900585717</v>
      </c>
      <c r="AH24" s="130">
        <f t="shared" si="12"/>
        <v>219732.13841824397</v>
      </c>
    </row>
    <row r="25" spans="1:34" ht="15" customHeight="1">
      <c r="A25" s="134" t="s">
        <v>162</v>
      </c>
      <c r="B25" s="130"/>
      <c r="C25" s="136"/>
      <c r="D25" s="136">
        <f>C25+'1-Ф3'!D28</f>
        <v>0</v>
      </c>
      <c r="E25" s="136">
        <f>D25+'1-Ф3'!E28</f>
        <v>0</v>
      </c>
      <c r="F25" s="136">
        <f>E25+'1-Ф3'!F28</f>
        <v>0</v>
      </c>
      <c r="G25" s="136">
        <f>F25+'1-Ф3'!G28</f>
        <v>0</v>
      </c>
      <c r="H25" s="136">
        <f>G25+'1-Ф3'!H28</f>
        <v>9716.693333333333</v>
      </c>
      <c r="I25" s="136">
        <f>H25+'1-Ф3'!I28</f>
        <v>19433.386666666665</v>
      </c>
      <c r="J25" s="136">
        <f>I25+'1-Ф3'!J28</f>
        <v>29150.079999999998</v>
      </c>
      <c r="K25" s="136">
        <f>J25+'1-Ф3'!K28</f>
        <v>38866.77333333333</v>
      </c>
      <c r="L25" s="136">
        <f>K25+'1-Ф3'!L28</f>
        <v>48583.46666666666</v>
      </c>
      <c r="M25" s="136">
        <f>L25+'1-Ф3'!M28</f>
        <v>68502.688</v>
      </c>
      <c r="N25" s="136">
        <f>M25+'1-Ф3'!N28</f>
        <v>82130.496</v>
      </c>
      <c r="O25" s="136">
        <f>N25+'1-Ф3'!O28</f>
        <v>85555.776</v>
      </c>
      <c r="P25" s="136">
        <f>O25</f>
        <v>85555.776</v>
      </c>
      <c r="Q25" s="136">
        <f>P25+'1-Ф3'!Q28</f>
        <v>89055.776</v>
      </c>
      <c r="R25" s="136">
        <f>Q25+'1-Ф3'!R28</f>
        <v>89055.776</v>
      </c>
      <c r="S25" s="136">
        <f>R25+'1-Ф3'!S28</f>
        <v>89055.776</v>
      </c>
      <c r="T25" s="136">
        <f>S25+'1-Ф3'!T28</f>
        <v>89055.776</v>
      </c>
      <c r="U25" s="136">
        <f>T25+'1-Ф3'!U28</f>
        <v>89055.776</v>
      </c>
      <c r="V25" s="136">
        <f>U25+'1-Ф3'!V28</f>
        <v>89055.776</v>
      </c>
      <c r="W25" s="136">
        <f>V25+'1-Ф3'!W28</f>
        <v>89055.776</v>
      </c>
      <c r="X25" s="136">
        <f>W25+'1-Ф3'!X28</f>
        <v>89055.776</v>
      </c>
      <c r="Y25" s="136">
        <f>X25+'1-Ф3'!Y28</f>
        <v>89055.776</v>
      </c>
      <c r="Z25" s="136">
        <f>Y25+'1-Ф3'!Z28</f>
        <v>89055.776</v>
      </c>
      <c r="AA25" s="136">
        <f>Z25+'1-Ф3'!AA28</f>
        <v>89055.776</v>
      </c>
      <c r="AB25" s="136">
        <f>AA25+'1-Ф3'!AB28</f>
        <v>89055.776</v>
      </c>
      <c r="AC25" s="136">
        <f>AB25</f>
        <v>89055.776</v>
      </c>
      <c r="AD25" s="136">
        <f>AC25+'1-Ф3'!AD28</f>
        <v>89055.776</v>
      </c>
      <c r="AE25" s="136">
        <f>AD25+'1-Ф3'!AE28</f>
        <v>89055.776</v>
      </c>
      <c r="AF25" s="136">
        <f>AE25+'1-Ф3'!AF28</f>
        <v>89055.776</v>
      </c>
      <c r="AG25" s="136">
        <f>AF25+'1-Ф3'!AG28</f>
        <v>89055.776</v>
      </c>
      <c r="AH25" s="136">
        <f>AG25+'1-Ф3'!AH28</f>
        <v>89055.776</v>
      </c>
    </row>
    <row r="26" spans="1:34" ht="15" customHeight="1">
      <c r="A26" s="134" t="s">
        <v>163</v>
      </c>
      <c r="B26" s="130"/>
      <c r="C26" s="136"/>
      <c r="D26" s="136">
        <f>'2-ф2'!D18</f>
        <v>0</v>
      </c>
      <c r="E26" s="136">
        <f>'2-ф2'!E18</f>
        <v>0</v>
      </c>
      <c r="F26" s="136">
        <f>'2-ф2'!F18</f>
        <v>0</v>
      </c>
      <c r="G26" s="136">
        <f>'2-ф2'!G18</f>
        <v>0</v>
      </c>
      <c r="H26" s="136">
        <f>'2-ф2'!H18</f>
        <v>0</v>
      </c>
      <c r="I26" s="136">
        <f>'2-ф2'!I18</f>
        <v>-226.72284444444446</v>
      </c>
      <c r="J26" s="136">
        <f>'2-ф2'!J18</f>
        <v>-680.1685333333334</v>
      </c>
      <c r="K26" s="136">
        <f>'2-ф2'!K18</f>
        <v>-1360.3370666666667</v>
      </c>
      <c r="L26" s="136">
        <f>'2-ф2'!L18</f>
        <v>-2267.2284444444444</v>
      </c>
      <c r="M26" s="136">
        <f>'2-ф2'!M18</f>
        <v>-3400.8426666666664</v>
      </c>
      <c r="N26" s="136">
        <f>'2-ф2'!N18</f>
        <v>-4999.238719999999</v>
      </c>
      <c r="O26" s="136">
        <f>'2-ф2'!O18</f>
        <v>-6915.616959999999</v>
      </c>
      <c r="P26" s="136">
        <f>'2-ф2'!P18</f>
        <v>-6915.616959999999</v>
      </c>
      <c r="Q26" s="136">
        <f>'2-ф2'!Q18</f>
        <v>-7961.2978407142855</v>
      </c>
      <c r="R26" s="136">
        <f>'2-ф2'!R18</f>
        <v>-10662.450286380952</v>
      </c>
      <c r="S26" s="136">
        <f>'2-ф2'!S18</f>
        <v>-12549.415976972396</v>
      </c>
      <c r="T26" s="136">
        <f>'2-ф2'!T18</f>
        <v>-14404.962769631471</v>
      </c>
      <c r="U26" s="136">
        <f>'2-ф2'!U18</f>
        <v>-14663.554950072465</v>
      </c>
      <c r="V26" s="136">
        <f>'2-ф2'!V18</f>
        <v>-10976.888946866804</v>
      </c>
      <c r="W26" s="136">
        <f>'2-ф2'!W18</f>
        <v>-4910.500474300206</v>
      </c>
      <c r="X26" s="136">
        <f>'2-ф2'!X18</f>
        <v>949.845516959007</v>
      </c>
      <c r="Y26" s="136">
        <f>'2-ф2'!Y18</f>
        <v>4600.797960275501</v>
      </c>
      <c r="Z26" s="136">
        <f>'2-ф2'!Z18</f>
        <v>7024.456950509317</v>
      </c>
      <c r="AA26" s="136">
        <f>'2-ф2'!AA18</f>
        <v>6968.393916231884</v>
      </c>
      <c r="AB26" s="136">
        <f>'2-ф2'!AB18</f>
        <v>7563.68028601463</v>
      </c>
      <c r="AC26" s="136">
        <f>'2-ф2'!AC18</f>
        <v>7563.68028601463</v>
      </c>
      <c r="AD26" s="136">
        <f>'2-ф2'!AD18</f>
        <v>24071.452982958723</v>
      </c>
      <c r="AE26" s="136">
        <f>'2-ф2'!AE18</f>
        <v>44625.69046456865</v>
      </c>
      <c r="AF26" s="136">
        <f>'2-ф2'!AF18</f>
        <v>69239.49255227299</v>
      </c>
      <c r="AG26" s="136">
        <f>'2-ф2'!AG18</f>
        <v>97926.61405857172</v>
      </c>
      <c r="AH26" s="136">
        <f>'2-ф2'!AH18</f>
        <v>130676.36241824398</v>
      </c>
    </row>
    <row r="28" spans="1:34" ht="12.75">
      <c r="A28" s="139" t="s">
        <v>164</v>
      </c>
      <c r="B28" s="140"/>
      <c r="C28" s="141">
        <f aca="true" t="shared" si="13" ref="C28:AH28">C5-C16</f>
        <v>0</v>
      </c>
      <c r="D28" s="142">
        <f t="shared" si="13"/>
        <v>0</v>
      </c>
      <c r="E28" s="142">
        <f t="shared" si="13"/>
        <v>0</v>
      </c>
      <c r="F28" s="142">
        <f t="shared" si="13"/>
        <v>0</v>
      </c>
      <c r="G28" s="142">
        <f t="shared" si="13"/>
        <v>0</v>
      </c>
      <c r="H28" s="142">
        <f t="shared" si="13"/>
        <v>0</v>
      </c>
      <c r="I28" s="142">
        <f t="shared" si="13"/>
        <v>0</v>
      </c>
      <c r="J28" s="142">
        <f t="shared" si="13"/>
        <v>0</v>
      </c>
      <c r="K28" s="142">
        <f t="shared" si="13"/>
        <v>0</v>
      </c>
      <c r="L28" s="142">
        <f t="shared" si="13"/>
        <v>0</v>
      </c>
      <c r="M28" s="142">
        <f t="shared" si="13"/>
        <v>0</v>
      </c>
      <c r="N28" s="142">
        <f t="shared" si="13"/>
        <v>0</v>
      </c>
      <c r="O28" s="142">
        <f t="shared" si="13"/>
        <v>0</v>
      </c>
      <c r="P28" s="142">
        <f t="shared" si="13"/>
        <v>0</v>
      </c>
      <c r="Q28" s="142">
        <f t="shared" si="13"/>
        <v>0</v>
      </c>
      <c r="R28" s="142">
        <f t="shared" si="13"/>
        <v>0</v>
      </c>
      <c r="S28" s="142">
        <f t="shared" si="13"/>
        <v>0</v>
      </c>
      <c r="T28" s="142">
        <f t="shared" si="13"/>
        <v>0</v>
      </c>
      <c r="U28" s="142">
        <f t="shared" si="13"/>
        <v>0</v>
      </c>
      <c r="V28" s="142">
        <f t="shared" si="13"/>
        <v>0</v>
      </c>
      <c r="W28" s="142">
        <f t="shared" si="13"/>
        <v>0</v>
      </c>
      <c r="X28" s="142">
        <f t="shared" si="13"/>
        <v>0</v>
      </c>
      <c r="Y28" s="142">
        <f t="shared" si="13"/>
        <v>0</v>
      </c>
      <c r="Z28" s="142">
        <f t="shared" si="13"/>
        <v>0</v>
      </c>
      <c r="AA28" s="142">
        <f t="shared" si="13"/>
        <v>0</v>
      </c>
      <c r="AB28" s="142">
        <f t="shared" si="13"/>
        <v>0</v>
      </c>
      <c r="AC28" s="142">
        <f t="shared" si="13"/>
        <v>0</v>
      </c>
      <c r="AD28" s="142">
        <f t="shared" si="13"/>
        <v>-3.4924596548080444E-10</v>
      </c>
      <c r="AE28" s="142">
        <f t="shared" si="13"/>
        <v>-3.7834979593753815E-10</v>
      </c>
      <c r="AF28" s="142">
        <f t="shared" si="13"/>
        <v>-4.0745362639427185E-10</v>
      </c>
      <c r="AG28" s="142">
        <f t="shared" si="13"/>
        <v>-3.4924596548080444E-10</v>
      </c>
      <c r="AH28" s="142">
        <f t="shared" si="13"/>
        <v>-3.4924596548080444E-10</v>
      </c>
    </row>
    <row r="30" spans="1:34" ht="12.75" customHeight="1" hidden="1">
      <c r="A30" s="122" t="s">
        <v>163</v>
      </c>
      <c r="P30" s="123">
        <f>P26</f>
        <v>-6915.616959999999</v>
      </c>
      <c r="Q30" s="123">
        <f>'[45]ф2'!Q32</f>
        <v>109.48954266069855</v>
      </c>
      <c r="R30" s="123">
        <f>'[45]ф2'!R32</f>
        <v>109.48954266069855</v>
      </c>
      <c r="S30" s="123">
        <f>'[45]ф2'!S32</f>
        <v>108.45296951069854</v>
      </c>
      <c r="T30" s="123">
        <f>'[45]ф2'!T32</f>
        <v>106.37982321069852</v>
      </c>
      <c r="U30" s="123">
        <f>'[45]ф2'!U32</f>
        <v>103.27010376069849</v>
      </c>
      <c r="V30" s="123">
        <f>'[45]ф2'!V32</f>
        <v>103.27010376069849</v>
      </c>
      <c r="W30" s="123">
        <f>'[45]ф2'!W32</f>
        <v>103.27010376069849</v>
      </c>
      <c r="X30" s="123">
        <f>'[45]ф2'!X32</f>
        <v>99.20125340855881</v>
      </c>
      <c r="Y30" s="123">
        <f>'[45]ф2'!Y32</f>
        <v>99.20125340855881</v>
      </c>
      <c r="Z30" s="123">
        <f>'[45]ф2'!Z32</f>
        <v>99.20125340855881</v>
      </c>
      <c r="AA30" s="123">
        <f>'[45]ф2'!AA32</f>
        <v>99.20125340855881</v>
      </c>
      <c r="AB30" s="123">
        <f>'[45]ф2'!AB32</f>
        <v>82.61608300855879</v>
      </c>
      <c r="AC30" s="123">
        <f>AC26-P26</f>
        <v>14479.29724601463</v>
      </c>
      <c r="AD30" s="123">
        <f>AD26-AC26</f>
        <v>16507.772696944092</v>
      </c>
      <c r="AE30" s="123">
        <f>AE26-AD26</f>
        <v>20554.23748160993</v>
      </c>
      <c r="AF30" s="123">
        <f>AF26-AE26</f>
        <v>24613.80208770434</v>
      </c>
      <c r="AG30" s="123">
        <f>AG26-AF26</f>
        <v>28687.121506298732</v>
      </c>
      <c r="AH30" s="123">
        <f>AH26-AG26</f>
        <v>32749.74835967226</v>
      </c>
    </row>
    <row r="31" spans="1:34" ht="12.75" customHeight="1" hidden="1">
      <c r="A31" s="122" t="s">
        <v>165</v>
      </c>
      <c r="P31" s="123">
        <f>(P8+P10+P13+P14)-(C8+C10+C13+C14)</f>
        <v>30555.634285714277</v>
      </c>
      <c r="AC31" s="123">
        <f>(AC8+AC10+AC13+AC14)-(P8+P10+P13+P14)</f>
        <v>-9379.24714285714</v>
      </c>
      <c r="AD31" s="123">
        <f>(AD8+AD10+AD13+AD14)-(AC8+AC10+AC13+AC14)</f>
        <v>-9475.772142857142</v>
      </c>
      <c r="AE31" s="123">
        <f>(AE8+AE10+AE13+AE14)-(AD8+AD10+AD13+AD14)</f>
        <v>-9515.071607142858</v>
      </c>
      <c r="AF31" s="123">
        <f>(AF8+AF10+AF13+AF14)-(AE8+AE10+AE13+AE14)</f>
        <v>-2185.5433928571365</v>
      </c>
      <c r="AG31" s="123">
        <f>(AG8+AG10+AG13+AG14)-(AF8+AF10+AF13+AF14)</f>
        <v>0</v>
      </c>
      <c r="AH31" s="123">
        <f>(AH8+AH10+AH13+AH14)-(AG8+AG10+AG13+AG14)</f>
        <v>0</v>
      </c>
    </row>
    <row r="32" spans="1:34" ht="12.75" customHeight="1" hidden="1">
      <c r="A32" s="122" t="s">
        <v>166</v>
      </c>
      <c r="P32" s="123">
        <f>P9-C9</f>
        <v>0</v>
      </c>
      <c r="AC32" s="123">
        <f>AC9-P9</f>
        <v>1149.107142857143</v>
      </c>
      <c r="AD32" s="123">
        <f>AD9-AC9</f>
        <v>0</v>
      </c>
      <c r="AE32" s="123">
        <f>AE9-AD9</f>
        <v>0</v>
      </c>
      <c r="AF32" s="123">
        <f>AF9-AE9</f>
        <v>0</v>
      </c>
      <c r="AG32" s="123">
        <f>AG9-AF9</f>
        <v>0</v>
      </c>
      <c r="AH32" s="123">
        <f>AH9-AG9</f>
        <v>0</v>
      </c>
    </row>
    <row r="33" spans="1:34" ht="12.75" customHeight="1" hidden="1">
      <c r="A33" s="122" t="s">
        <v>167</v>
      </c>
      <c r="P33" s="123">
        <f>(P21+P17)-(C21+C17)</f>
        <v>214712.42762666667</v>
      </c>
      <c r="AC33" s="123">
        <f>(AC21+AC17)-(P21+P17)</f>
        <v>-32482.819618937123</v>
      </c>
      <c r="AD33" s="123">
        <f>(AD21+AD17)-(AC21+AC17)</f>
        <v>-37702.67751884053</v>
      </c>
      <c r="AE33" s="123">
        <f>(AE21+AE17)-(AD21+AD17)</f>
        <v>-37702.67751884053</v>
      </c>
      <c r="AF33" s="123">
        <f>(AF21+AF17)-(AE21+AE17)</f>
        <v>-37702.67751884053</v>
      </c>
      <c r="AG33" s="123">
        <f>(AG21+AG17)-(AF21+AF17)</f>
        <v>-37702.6775188406</v>
      </c>
      <c r="AH33" s="123">
        <f>(AH21+AH17)-(AG21+AG17)</f>
        <v>-31418.89793236715</v>
      </c>
    </row>
    <row r="34" spans="1:34" ht="12.75" customHeight="1" hidden="1">
      <c r="A34" s="122" t="s">
        <v>168</v>
      </c>
      <c r="P34" s="123">
        <f>-P31+P32+P33</f>
        <v>184156.7933409524</v>
      </c>
      <c r="Q34" s="123">
        <f aca="true" t="shared" si="14" ref="Q34:AB34">Q31+Q32+Q33</f>
        <v>0</v>
      </c>
      <c r="R34" s="123">
        <f t="shared" si="14"/>
        <v>0</v>
      </c>
      <c r="S34" s="123">
        <f t="shared" si="14"/>
        <v>0</v>
      </c>
      <c r="T34" s="123">
        <f t="shared" si="14"/>
        <v>0</v>
      </c>
      <c r="U34" s="123">
        <f t="shared" si="14"/>
        <v>0</v>
      </c>
      <c r="V34" s="123">
        <f t="shared" si="14"/>
        <v>0</v>
      </c>
      <c r="W34" s="123">
        <f t="shared" si="14"/>
        <v>0</v>
      </c>
      <c r="X34" s="123">
        <f t="shared" si="14"/>
        <v>0</v>
      </c>
      <c r="Y34" s="123">
        <f t="shared" si="14"/>
        <v>0</v>
      </c>
      <c r="Z34" s="123">
        <f t="shared" si="14"/>
        <v>0</v>
      </c>
      <c r="AA34" s="123">
        <f t="shared" si="14"/>
        <v>0</v>
      </c>
      <c r="AB34" s="123">
        <f t="shared" si="14"/>
        <v>0</v>
      </c>
      <c r="AC34" s="123">
        <f aca="true" t="shared" si="15" ref="AC34:AH34">-AC31+AC32+AC33</f>
        <v>-21954.46533322284</v>
      </c>
      <c r="AD34" s="123">
        <f t="shared" si="15"/>
        <v>-28226.905375983388</v>
      </c>
      <c r="AE34" s="123">
        <f t="shared" si="15"/>
        <v>-28187.605911697672</v>
      </c>
      <c r="AF34" s="123">
        <f t="shared" si="15"/>
        <v>-35517.13412598339</v>
      </c>
      <c r="AG34" s="123">
        <f t="shared" si="15"/>
        <v>-37702.6775188406</v>
      </c>
      <c r="AH34" s="123">
        <f t="shared" si="15"/>
        <v>-31418.89793236715</v>
      </c>
    </row>
    <row r="35" spans="1:34" ht="12.75" customHeight="1" hidden="1">
      <c r="A35" s="122" t="s">
        <v>84</v>
      </c>
      <c r="P35" s="123">
        <f>'2-ф2'!P13</f>
        <v>0</v>
      </c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>
        <f>'2-ф2'!AC13</f>
        <v>13750.942857142853</v>
      </c>
      <c r="AD35" s="123">
        <f>'2-ф2'!AD13</f>
        <v>13750.942857142856</v>
      </c>
      <c r="AE35" s="123">
        <f>'2-ф2'!AE13</f>
        <v>13750.942857142856</v>
      </c>
      <c r="AF35" s="123">
        <f>'2-ф2'!AF13</f>
        <v>13750.942857142856</v>
      </c>
      <c r="AG35" s="123">
        <f>'2-ф2'!AG13</f>
        <v>13750.942857142856</v>
      </c>
      <c r="AH35" s="123">
        <f>'2-ф2'!AH13</f>
        <v>13750.942857142856</v>
      </c>
    </row>
    <row r="36" spans="1:34" ht="12.75" customHeight="1" hidden="1">
      <c r="A36" s="122" t="s">
        <v>169</v>
      </c>
      <c r="P36" s="123">
        <f>-'1-Ф3'!P21</f>
        <v>-285185.92</v>
      </c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>
        <f>-'1-Ф3'!AC21</f>
        <v>0</v>
      </c>
      <c r="AD36" s="123">
        <f>-'1-Ф3'!AD21</f>
        <v>0</v>
      </c>
      <c r="AE36" s="123">
        <f>-'1-Ф3'!AE21</f>
        <v>0</v>
      </c>
      <c r="AF36" s="123">
        <f>-'1-Ф3'!AF21</f>
        <v>0</v>
      </c>
      <c r="AG36" s="123">
        <f>-'1-Ф3'!AG21</f>
        <v>0</v>
      </c>
      <c r="AH36" s="123">
        <f>-'1-Ф3'!AH21</f>
        <v>0</v>
      </c>
    </row>
    <row r="37" spans="1:34" ht="12.75" customHeight="1" hidden="1">
      <c r="A37" s="122" t="s">
        <v>170</v>
      </c>
      <c r="P37" s="123">
        <f>P30+P34+P35+P36+P25</f>
        <v>-22388.967619047573</v>
      </c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>
        <f aca="true" t="shared" si="16" ref="AC37:AH37">AC30+AC34+AC35+AC36</f>
        <v>6275.774769934642</v>
      </c>
      <c r="AD37" s="123">
        <f t="shared" si="16"/>
        <v>2031.8101781035602</v>
      </c>
      <c r="AE37" s="123">
        <f t="shared" si="16"/>
        <v>6117.574427055113</v>
      </c>
      <c r="AF37" s="123">
        <f t="shared" si="16"/>
        <v>2847.610818863801</v>
      </c>
      <c r="AG37" s="123">
        <f t="shared" si="16"/>
        <v>4735.386844600986</v>
      </c>
      <c r="AH37" s="123">
        <f t="shared" si="16"/>
        <v>15081.793284447967</v>
      </c>
    </row>
    <row r="38" ht="12.75" customHeight="1" hidden="1"/>
    <row r="39" spans="1:34" ht="12.75" customHeight="1" hidden="1">
      <c r="A39" s="122" t="s">
        <v>178</v>
      </c>
      <c r="P39" s="123">
        <f>'1-Ф3'!P34</f>
        <v>8166.666666666686</v>
      </c>
      <c r="AC39" s="123">
        <f>'1-Ф3'!AC34</f>
        <v>7477.560484220274</v>
      </c>
      <c r="AD39" s="123">
        <f>'1-Ф3'!AD34</f>
        <v>2031.810178103522</v>
      </c>
      <c r="AE39" s="123">
        <f>'1-Ф3'!AE34</f>
        <v>6117.574427055071</v>
      </c>
      <c r="AF39" s="123">
        <f>'1-Ф3'!AF34</f>
        <v>2847.610818863752</v>
      </c>
      <c r="AG39" s="123">
        <f>'1-Ф3'!AG34</f>
        <v>4735.386844601031</v>
      </c>
      <c r="AH39" s="123">
        <f>'1-Ф3'!AH34</f>
        <v>15081.793284447976</v>
      </c>
    </row>
    <row r="40" spans="1:34" ht="12.75" customHeight="1" hidden="1">
      <c r="A40" s="139" t="s">
        <v>164</v>
      </c>
      <c r="B40" s="140"/>
      <c r="C40" s="141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>
        <f>P39-P37</f>
        <v>30555.63428571426</v>
      </c>
      <c r="Q40" s="142">
        <f aca="true" t="shared" si="17" ref="Q40:AB40">Q39-Q37</f>
        <v>0</v>
      </c>
      <c r="R40" s="142">
        <f t="shared" si="17"/>
        <v>0</v>
      </c>
      <c r="S40" s="142">
        <f t="shared" si="17"/>
        <v>0</v>
      </c>
      <c r="T40" s="142">
        <f t="shared" si="17"/>
        <v>0</v>
      </c>
      <c r="U40" s="142">
        <f t="shared" si="17"/>
        <v>0</v>
      </c>
      <c r="V40" s="142">
        <f t="shared" si="17"/>
        <v>0</v>
      </c>
      <c r="W40" s="142">
        <f t="shared" si="17"/>
        <v>0</v>
      </c>
      <c r="X40" s="142">
        <f t="shared" si="17"/>
        <v>0</v>
      </c>
      <c r="Y40" s="142">
        <f t="shared" si="17"/>
        <v>0</v>
      </c>
      <c r="Z40" s="142">
        <f t="shared" si="17"/>
        <v>0</v>
      </c>
      <c r="AA40" s="142">
        <f t="shared" si="17"/>
        <v>0</v>
      </c>
      <c r="AB40" s="142">
        <f t="shared" si="17"/>
        <v>0</v>
      </c>
      <c r="AC40" s="142">
        <f aca="true" t="shared" si="18" ref="AC40:AH40">AC39-AC37</f>
        <v>1201.785714285632</v>
      </c>
      <c r="AD40" s="142">
        <f t="shared" si="18"/>
        <v>-3.8198777474462986E-11</v>
      </c>
      <c r="AE40" s="142">
        <f t="shared" si="18"/>
        <v>-4.18367562815547E-11</v>
      </c>
      <c r="AF40" s="142">
        <f t="shared" si="18"/>
        <v>-4.9112713895738125E-11</v>
      </c>
      <c r="AG40" s="142">
        <f t="shared" si="18"/>
        <v>4.547473508864641E-11</v>
      </c>
      <c r="AH40" s="142">
        <f t="shared" si="18"/>
        <v>0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4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38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H24" sqref="H24"/>
    </sheetView>
  </sheetViews>
  <sheetFormatPr defaultColWidth="9.00390625" defaultRowHeight="12.75"/>
  <cols>
    <col min="1" max="1" width="28.75390625" style="78" customWidth="1"/>
    <col min="2" max="2" width="16.875" style="78" customWidth="1"/>
    <col min="3" max="3" width="13.625" style="78" customWidth="1"/>
    <col min="4" max="4" width="6.75390625" style="78" customWidth="1"/>
    <col min="5" max="5" width="7.625" style="78" customWidth="1"/>
    <col min="6" max="6" width="6.125" style="78" customWidth="1"/>
    <col min="7" max="13" width="7.625" style="78" customWidth="1"/>
    <col min="14" max="15" width="11.00390625" style="78" customWidth="1"/>
    <col min="16" max="16384" width="9.125" style="78" customWidth="1"/>
  </cols>
  <sheetData>
    <row r="1" spans="1:3" ht="15.75" customHeight="1">
      <c r="A1" s="284" t="s">
        <v>43</v>
      </c>
      <c r="B1" s="284"/>
      <c r="C1" s="284"/>
    </row>
    <row r="2" ht="12" customHeight="1">
      <c r="A2" s="62"/>
    </row>
    <row r="3" spans="1:3" ht="12.75">
      <c r="A3" s="79" t="s">
        <v>31</v>
      </c>
      <c r="B3" s="80" t="s">
        <v>44</v>
      </c>
      <c r="C3" s="80" t="s">
        <v>9</v>
      </c>
    </row>
    <row r="4" ht="12.75">
      <c r="A4" s="62" t="s">
        <v>181</v>
      </c>
    </row>
    <row r="5" spans="1:3" ht="12.75">
      <c r="A5" s="81" t="s">
        <v>118</v>
      </c>
      <c r="B5" s="81"/>
      <c r="C5" s="148">
        <v>148</v>
      </c>
    </row>
    <row r="6" spans="1:3" ht="12.75">
      <c r="A6" s="81" t="s">
        <v>191</v>
      </c>
      <c r="B6" s="81"/>
      <c r="C6" s="148">
        <v>5</v>
      </c>
    </row>
    <row r="7" spans="1:4" ht="12.75">
      <c r="A7" s="81" t="s">
        <v>80</v>
      </c>
      <c r="B7" s="81"/>
      <c r="C7" s="163">
        <f>20%*C8+C31*(1-C19)*(1-C8)</f>
        <v>0.12719999999999998</v>
      </c>
      <c r="D7" s="78" t="s">
        <v>193</v>
      </c>
    </row>
    <row r="8" spans="1:3" ht="12.75">
      <c r="A8" s="81" t="s">
        <v>192</v>
      </c>
      <c r="B8" s="81"/>
      <c r="C8" s="84">
        <v>0.3</v>
      </c>
    </row>
    <row r="9" spans="1:3" ht="12.75">
      <c r="A9" s="81" t="s">
        <v>171</v>
      </c>
      <c r="B9" s="81"/>
      <c r="C9" s="85" t="s">
        <v>65</v>
      </c>
    </row>
    <row r="10" ht="12.75">
      <c r="A10" s="62" t="s">
        <v>172</v>
      </c>
    </row>
    <row r="11" spans="1:3" ht="12.75">
      <c r="A11" s="81" t="s">
        <v>52</v>
      </c>
      <c r="B11" s="83" t="s">
        <v>46</v>
      </c>
      <c r="C11" s="84">
        <v>0.1</v>
      </c>
    </row>
    <row r="12" spans="1:3" ht="12.75">
      <c r="A12" s="81" t="s">
        <v>57</v>
      </c>
      <c r="B12" s="83" t="s">
        <v>46</v>
      </c>
      <c r="C12" s="84">
        <v>0.05</v>
      </c>
    </row>
    <row r="13" spans="1:3" ht="12.75">
      <c r="A13" s="81" t="s">
        <v>53</v>
      </c>
      <c r="B13" s="83" t="s">
        <v>46</v>
      </c>
      <c r="C13" s="84">
        <v>0.1</v>
      </c>
    </row>
    <row r="14" spans="1:3" ht="12.75">
      <c r="A14" s="81" t="s">
        <v>55</v>
      </c>
      <c r="B14" s="83" t="s">
        <v>46</v>
      </c>
      <c r="C14" s="84">
        <v>0.11</v>
      </c>
    </row>
    <row r="15" spans="1:3" ht="12.75">
      <c r="A15" s="81" t="s">
        <v>134</v>
      </c>
      <c r="B15" s="83" t="s">
        <v>65</v>
      </c>
      <c r="C15" s="86">
        <v>15.999</v>
      </c>
    </row>
    <row r="16" spans="1:3" ht="12.75">
      <c r="A16" s="81" t="s">
        <v>2</v>
      </c>
      <c r="B16" s="83"/>
      <c r="C16" s="260">
        <v>0.015</v>
      </c>
    </row>
    <row r="17" spans="1:3" ht="12.75">
      <c r="A17" s="81" t="s">
        <v>45</v>
      </c>
      <c r="B17" s="83" t="s">
        <v>46</v>
      </c>
      <c r="C17" s="84">
        <v>0.12</v>
      </c>
    </row>
    <row r="18" spans="1:3" ht="12.75">
      <c r="A18" s="81" t="s">
        <v>67</v>
      </c>
      <c r="B18" s="81"/>
      <c r="C18" s="82">
        <v>1.12</v>
      </c>
    </row>
    <row r="19" spans="1:3" ht="12.75">
      <c r="A19" s="81" t="s">
        <v>64</v>
      </c>
      <c r="B19" s="81"/>
      <c r="C19" s="84">
        <v>0.2</v>
      </c>
    </row>
    <row r="20" ht="12.75">
      <c r="A20" s="62" t="s">
        <v>180</v>
      </c>
    </row>
    <row r="21" spans="1:3" ht="12.75">
      <c r="A21" s="81" t="s">
        <v>289</v>
      </c>
      <c r="B21" s="83" t="s">
        <v>332</v>
      </c>
      <c r="C21" s="148">
        <f>12+3</f>
        <v>15</v>
      </c>
    </row>
    <row r="22" spans="1:3" ht="12.75">
      <c r="A22" s="81" t="s">
        <v>291</v>
      </c>
      <c r="B22" s="83" t="s">
        <v>292</v>
      </c>
      <c r="C22" s="148">
        <v>21</v>
      </c>
    </row>
    <row r="23" spans="1:3" ht="12.75">
      <c r="A23" s="81" t="s">
        <v>293</v>
      </c>
      <c r="B23" s="83" t="s">
        <v>294</v>
      </c>
      <c r="C23" s="148">
        <v>17000</v>
      </c>
    </row>
    <row r="24" spans="1:3" ht="12.75">
      <c r="A24" s="81" t="s">
        <v>290</v>
      </c>
      <c r="B24" s="83" t="s">
        <v>332</v>
      </c>
      <c r="C24" s="148">
        <f>4+1</f>
        <v>5</v>
      </c>
    </row>
    <row r="25" spans="1:3" ht="12.75">
      <c r="A25" s="81" t="s">
        <v>291</v>
      </c>
      <c r="B25" s="83" t="s">
        <v>292</v>
      </c>
      <c r="C25" s="148">
        <v>17</v>
      </c>
    </row>
    <row r="26" spans="1:3" ht="12.75">
      <c r="A26" s="81" t="s">
        <v>293</v>
      </c>
      <c r="B26" s="83" t="s">
        <v>294</v>
      </c>
      <c r="C26" s="148">
        <v>25000</v>
      </c>
    </row>
    <row r="27" spans="1:3" ht="12.75">
      <c r="A27" s="170" t="s">
        <v>295</v>
      </c>
      <c r="B27" s="234" t="s">
        <v>296</v>
      </c>
      <c r="C27" s="235">
        <v>66</v>
      </c>
    </row>
    <row r="28" spans="1:3" ht="12.75">
      <c r="A28" s="170" t="s">
        <v>297</v>
      </c>
      <c r="B28" s="234" t="s">
        <v>298</v>
      </c>
      <c r="C28" s="235">
        <v>650</v>
      </c>
    </row>
    <row r="29" spans="1:3" ht="25.5">
      <c r="A29" s="170" t="s">
        <v>299</v>
      </c>
      <c r="B29" s="234" t="s">
        <v>46</v>
      </c>
      <c r="C29" s="84">
        <v>0.5</v>
      </c>
    </row>
    <row r="30" ht="12.75">
      <c r="A30" s="62" t="s">
        <v>182</v>
      </c>
    </row>
    <row r="31" spans="1:3" ht="12.75">
      <c r="A31" s="81" t="s">
        <v>62</v>
      </c>
      <c r="B31" s="83" t="s">
        <v>46</v>
      </c>
      <c r="C31" s="84">
        <v>0.12</v>
      </c>
    </row>
    <row r="32" spans="1:3" ht="12.75">
      <c r="A32" s="81" t="s">
        <v>183</v>
      </c>
      <c r="B32" s="83" t="s">
        <v>184</v>
      </c>
      <c r="C32" s="263">
        <v>6.5</v>
      </c>
    </row>
    <row r="33" spans="1:3" ht="12.75">
      <c r="A33" s="81" t="s">
        <v>185</v>
      </c>
      <c r="B33" s="83" t="s">
        <v>187</v>
      </c>
      <c r="C33" s="148">
        <v>9</v>
      </c>
    </row>
    <row r="34" spans="1:3" ht="12.75">
      <c r="A34" s="81" t="s">
        <v>186</v>
      </c>
      <c r="B34" s="83" t="s">
        <v>187</v>
      </c>
      <c r="C34" s="148">
        <v>9</v>
      </c>
    </row>
    <row r="35" ht="12.75">
      <c r="A35" s="62" t="s">
        <v>315</v>
      </c>
    </row>
    <row r="36" spans="1:14" ht="12.75">
      <c r="A36" s="81" t="s">
        <v>329</v>
      </c>
      <c r="B36" s="83" t="s">
        <v>316</v>
      </c>
      <c r="C36" s="83" t="s">
        <v>317</v>
      </c>
      <c r="D36" s="83" t="s">
        <v>318</v>
      </c>
      <c r="E36" s="83" t="s">
        <v>319</v>
      </c>
      <c r="F36" s="83" t="s">
        <v>320</v>
      </c>
      <c r="G36" s="83" t="s">
        <v>321</v>
      </c>
      <c r="H36" s="83" t="s">
        <v>322</v>
      </c>
      <c r="I36" s="83" t="s">
        <v>323</v>
      </c>
      <c r="J36" s="83" t="s">
        <v>324</v>
      </c>
      <c r="K36" s="83" t="s">
        <v>325</v>
      </c>
      <c r="L36" s="83" t="s">
        <v>326</v>
      </c>
      <c r="M36" s="83" t="s">
        <v>327</v>
      </c>
      <c r="N36" s="83" t="s">
        <v>328</v>
      </c>
    </row>
    <row r="37" spans="1:14" ht="12.75">
      <c r="A37" s="81" t="s">
        <v>262</v>
      </c>
      <c r="B37" s="265">
        <v>0.7</v>
      </c>
      <c r="C37" s="265">
        <v>0.5</v>
      </c>
      <c r="D37" s="265">
        <v>0.6</v>
      </c>
      <c r="E37" s="265">
        <v>0.6</v>
      </c>
      <c r="F37" s="265">
        <v>0.8</v>
      </c>
      <c r="G37" s="265">
        <v>1.3</v>
      </c>
      <c r="H37" s="265">
        <v>1.6</v>
      </c>
      <c r="I37" s="265">
        <v>1.6</v>
      </c>
      <c r="J37" s="265">
        <v>1.4</v>
      </c>
      <c r="K37" s="265">
        <v>1.2</v>
      </c>
      <c r="L37" s="265">
        <v>0.8</v>
      </c>
      <c r="M37" s="265">
        <v>0.9</v>
      </c>
      <c r="N37" s="265">
        <f>AVERAGE(B37:M37)</f>
        <v>1</v>
      </c>
    </row>
    <row r="38" spans="1:14" ht="12.75">
      <c r="A38" s="81" t="s">
        <v>268</v>
      </c>
      <c r="B38" s="265">
        <f>B37</f>
        <v>0.7</v>
      </c>
      <c r="C38" s="265">
        <f aca="true" t="shared" si="0" ref="C38:M38">C37</f>
        <v>0.5</v>
      </c>
      <c r="D38" s="265">
        <f t="shared" si="0"/>
        <v>0.6</v>
      </c>
      <c r="E38" s="265">
        <f t="shared" si="0"/>
        <v>0.6</v>
      </c>
      <c r="F38" s="265">
        <f t="shared" si="0"/>
        <v>0.8</v>
      </c>
      <c r="G38" s="265">
        <f t="shared" si="0"/>
        <v>1.3</v>
      </c>
      <c r="H38" s="265">
        <f t="shared" si="0"/>
        <v>1.6</v>
      </c>
      <c r="I38" s="265">
        <f t="shared" si="0"/>
        <v>1.6</v>
      </c>
      <c r="J38" s="265">
        <f t="shared" si="0"/>
        <v>1.4</v>
      </c>
      <c r="K38" s="265">
        <f t="shared" si="0"/>
        <v>1.2</v>
      </c>
      <c r="L38" s="265">
        <f t="shared" si="0"/>
        <v>0.8</v>
      </c>
      <c r="M38" s="265">
        <f t="shared" si="0"/>
        <v>0.9</v>
      </c>
      <c r="N38" s="265">
        <f>AVERAGE(B38:M38)</f>
        <v>1</v>
      </c>
    </row>
  </sheetData>
  <sheetProtection/>
  <mergeCells count="1">
    <mergeCell ref="A1:C1"/>
  </mergeCells>
  <printOptions/>
  <pageMargins left="0.75" right="0.75" top="0.64" bottom="1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19"/>
  <sheetViews>
    <sheetView showGridLines="0" zoomScalePageLayoutView="0" workbookViewId="0" topLeftCell="A1">
      <pane ySplit="4" topLeftCell="A5" activePane="bottomLeft" state="frozen"/>
      <selection pane="topLeft" activeCell="C8" sqref="C8"/>
      <selection pane="bottomLeft" activeCell="J18" sqref="J18"/>
    </sheetView>
  </sheetViews>
  <sheetFormatPr defaultColWidth="8.875" defaultRowHeight="12.75"/>
  <cols>
    <col min="1" max="1" width="29.75390625" style="78" customWidth="1"/>
    <col min="2" max="2" width="10.875" style="78" customWidth="1"/>
    <col min="3" max="3" width="9.75390625" style="78" customWidth="1"/>
    <col min="4" max="9" width="8.875" style="78" customWidth="1"/>
    <col min="10" max="10" width="31.75390625" style="78" customWidth="1"/>
    <col min="11" max="16384" width="8.875" style="78" customWidth="1"/>
  </cols>
  <sheetData>
    <row r="1" ht="12.75">
      <c r="A1" s="62" t="s">
        <v>105</v>
      </c>
    </row>
    <row r="2" ht="12.75">
      <c r="A2" s="62"/>
    </row>
    <row r="3" spans="1:7" ht="12.75">
      <c r="A3" s="78" t="s">
        <v>47</v>
      </c>
      <c r="C3" s="143"/>
      <c r="D3" s="143"/>
      <c r="E3" s="143"/>
      <c r="F3" s="143"/>
      <c r="G3" s="143"/>
    </row>
    <row r="4" spans="1:9" ht="12.75">
      <c r="A4" s="233" t="s">
        <v>106</v>
      </c>
      <c r="B4" s="229"/>
      <c r="C4" s="229" t="s">
        <v>302</v>
      </c>
      <c r="D4" s="229">
        <v>2013</v>
      </c>
      <c r="E4" s="229">
        <f>D4+1</f>
        <v>2014</v>
      </c>
      <c r="F4" s="229">
        <f>E4+1</f>
        <v>2015</v>
      </c>
      <c r="G4" s="229">
        <f>F4+1</f>
        <v>2016</v>
      </c>
      <c r="H4" s="229">
        <f>G4+1</f>
        <v>2017</v>
      </c>
      <c r="I4" s="229">
        <f>H4+1</f>
        <v>2018</v>
      </c>
    </row>
    <row r="5" spans="1:9" ht="12.75">
      <c r="A5" s="230" t="s">
        <v>262</v>
      </c>
      <c r="B5" s="232" t="s">
        <v>124</v>
      </c>
      <c r="C5" s="231">
        <f>C7*C8*C9/1000+C12*C13*C14/1000</f>
        <v>0</v>
      </c>
      <c r="D5" s="231">
        <f aca="true" t="shared" si="0" ref="D5:I5">D7*D8*D9/1000+D12*D13*D14/1000</f>
        <v>6678.571428571428</v>
      </c>
      <c r="E5" s="231">
        <f t="shared" si="0"/>
        <v>6678.571428571428</v>
      </c>
      <c r="F5" s="231">
        <f t="shared" si="0"/>
        <v>6678.571428571428</v>
      </c>
      <c r="G5" s="231">
        <f t="shared" si="0"/>
        <v>6678.571428571428</v>
      </c>
      <c r="H5" s="231">
        <f t="shared" si="0"/>
        <v>6678.571428571428</v>
      </c>
      <c r="I5" s="231">
        <f t="shared" si="0"/>
        <v>6678.571428571428</v>
      </c>
    </row>
    <row r="6" spans="1:9" ht="12.75">
      <c r="A6" s="262" t="s">
        <v>263</v>
      </c>
      <c r="B6" s="163">
        <f>B8/30</f>
        <v>0.7</v>
      </c>
      <c r="C6" s="163">
        <f aca="true" t="shared" si="1" ref="C6:I6">C8/30</f>
        <v>0</v>
      </c>
      <c r="D6" s="163">
        <f t="shared" si="1"/>
        <v>0.7</v>
      </c>
      <c r="E6" s="163">
        <f t="shared" si="1"/>
        <v>0.7</v>
      </c>
      <c r="F6" s="163">
        <f t="shared" si="1"/>
        <v>0.7</v>
      </c>
      <c r="G6" s="163">
        <f t="shared" si="1"/>
        <v>0.7</v>
      </c>
      <c r="H6" s="163">
        <f t="shared" si="1"/>
        <v>0.7</v>
      </c>
      <c r="I6" s="163">
        <f t="shared" si="1"/>
        <v>0.7</v>
      </c>
    </row>
    <row r="7" spans="1:9" ht="12.75">
      <c r="A7" s="81" t="s">
        <v>264</v>
      </c>
      <c r="B7" s="149">
        <f>Исх!C21</f>
        <v>15</v>
      </c>
      <c r="C7" s="149"/>
      <c r="D7" s="149">
        <f>B7</f>
        <v>15</v>
      </c>
      <c r="E7" s="149">
        <f aca="true" t="shared" si="2" ref="E7:I9">D7</f>
        <v>15</v>
      </c>
      <c r="F7" s="149">
        <f t="shared" si="2"/>
        <v>15</v>
      </c>
      <c r="G7" s="149">
        <f t="shared" si="2"/>
        <v>15</v>
      </c>
      <c r="H7" s="149">
        <f t="shared" si="2"/>
        <v>15</v>
      </c>
      <c r="I7" s="149">
        <f t="shared" si="2"/>
        <v>15</v>
      </c>
    </row>
    <row r="8" spans="1:9" ht="12.75">
      <c r="A8" s="81" t="s">
        <v>265</v>
      </c>
      <c r="B8" s="149">
        <f>Исх!C22</f>
        <v>21</v>
      </c>
      <c r="C8" s="149"/>
      <c r="D8" s="149">
        <f>B8</f>
        <v>21</v>
      </c>
      <c r="E8" s="149">
        <f t="shared" si="2"/>
        <v>21</v>
      </c>
      <c r="F8" s="149">
        <f t="shared" si="2"/>
        <v>21</v>
      </c>
      <c r="G8" s="149">
        <f t="shared" si="2"/>
        <v>21</v>
      </c>
      <c r="H8" s="149">
        <f t="shared" si="2"/>
        <v>21</v>
      </c>
      <c r="I8" s="149">
        <f t="shared" si="2"/>
        <v>21</v>
      </c>
    </row>
    <row r="9" spans="1:9" ht="12.75">
      <c r="A9" s="81" t="s">
        <v>266</v>
      </c>
      <c r="B9" s="149">
        <f>Исх!C23/Исх!$C$18</f>
        <v>15178.571428571428</v>
      </c>
      <c r="C9" s="149"/>
      <c r="D9" s="149">
        <f>B9</f>
        <v>15178.571428571428</v>
      </c>
      <c r="E9" s="149">
        <f t="shared" si="2"/>
        <v>15178.571428571428</v>
      </c>
      <c r="F9" s="149">
        <f t="shared" si="2"/>
        <v>15178.571428571428</v>
      </c>
      <c r="G9" s="149">
        <f t="shared" si="2"/>
        <v>15178.571428571428</v>
      </c>
      <c r="H9" s="149">
        <f t="shared" si="2"/>
        <v>15178.571428571428</v>
      </c>
      <c r="I9" s="149">
        <f t="shared" si="2"/>
        <v>15178.571428571428</v>
      </c>
    </row>
    <row r="11" spans="1:9" ht="12.75">
      <c r="A11" s="262" t="s">
        <v>267</v>
      </c>
      <c r="B11" s="163">
        <f>B13/30</f>
        <v>0.5666666666666667</v>
      </c>
      <c r="C11" s="163">
        <f aca="true" t="shared" si="3" ref="C11:I11">C13/30</f>
        <v>0</v>
      </c>
      <c r="D11" s="163">
        <f t="shared" si="3"/>
        <v>0.5666666666666667</v>
      </c>
      <c r="E11" s="163">
        <f t="shared" si="3"/>
        <v>0.5666666666666667</v>
      </c>
      <c r="F11" s="163">
        <f t="shared" si="3"/>
        <v>0.5666666666666667</v>
      </c>
      <c r="G11" s="163">
        <f t="shared" si="3"/>
        <v>0.5666666666666667</v>
      </c>
      <c r="H11" s="163">
        <f t="shared" si="3"/>
        <v>0.5666666666666667</v>
      </c>
      <c r="I11" s="163">
        <f t="shared" si="3"/>
        <v>0.5666666666666667</v>
      </c>
    </row>
    <row r="12" spans="1:9" ht="12.75">
      <c r="A12" s="81" t="s">
        <v>264</v>
      </c>
      <c r="B12" s="149">
        <f>Исх!C24</f>
        <v>5</v>
      </c>
      <c r="C12" s="149"/>
      <c r="D12" s="149">
        <f>B12</f>
        <v>5</v>
      </c>
      <c r="E12" s="149">
        <f aca="true" t="shared" si="4" ref="E12:I14">D12</f>
        <v>5</v>
      </c>
      <c r="F12" s="149">
        <f t="shared" si="4"/>
        <v>5</v>
      </c>
      <c r="G12" s="149">
        <f t="shared" si="4"/>
        <v>5</v>
      </c>
      <c r="H12" s="149">
        <f t="shared" si="4"/>
        <v>5</v>
      </c>
      <c r="I12" s="149">
        <f t="shared" si="4"/>
        <v>5</v>
      </c>
    </row>
    <row r="13" spans="1:9" ht="12.75">
      <c r="A13" s="81" t="s">
        <v>265</v>
      </c>
      <c r="B13" s="149">
        <f>Исх!C25</f>
        <v>17</v>
      </c>
      <c r="C13" s="149"/>
      <c r="D13" s="149">
        <f>B13</f>
        <v>17</v>
      </c>
      <c r="E13" s="149">
        <f t="shared" si="4"/>
        <v>17</v>
      </c>
      <c r="F13" s="149">
        <f t="shared" si="4"/>
        <v>17</v>
      </c>
      <c r="G13" s="149">
        <f t="shared" si="4"/>
        <v>17</v>
      </c>
      <c r="H13" s="149">
        <f t="shared" si="4"/>
        <v>17</v>
      </c>
      <c r="I13" s="149">
        <f t="shared" si="4"/>
        <v>17</v>
      </c>
    </row>
    <row r="14" spans="1:9" ht="12.75">
      <c r="A14" s="81" t="s">
        <v>266</v>
      </c>
      <c r="B14" s="149">
        <f>Исх!C26/Исх!$C$18</f>
        <v>22321.42857142857</v>
      </c>
      <c r="C14" s="149"/>
      <c r="D14" s="149">
        <f>B14</f>
        <v>22321.42857142857</v>
      </c>
      <c r="E14" s="149">
        <f t="shared" si="4"/>
        <v>22321.42857142857</v>
      </c>
      <c r="F14" s="149">
        <f t="shared" si="4"/>
        <v>22321.42857142857</v>
      </c>
      <c r="G14" s="149">
        <f t="shared" si="4"/>
        <v>22321.42857142857</v>
      </c>
      <c r="H14" s="149">
        <f t="shared" si="4"/>
        <v>22321.42857142857</v>
      </c>
      <c r="I14" s="149">
        <f t="shared" si="4"/>
        <v>22321.42857142857</v>
      </c>
    </row>
    <row r="16" spans="1:9" ht="12.75">
      <c r="A16" s="230" t="s">
        <v>268</v>
      </c>
      <c r="B16" s="232" t="s">
        <v>124</v>
      </c>
      <c r="C16" s="231">
        <f>C17*C18*C19/1000</f>
        <v>0</v>
      </c>
      <c r="D16" s="231">
        <f aca="true" t="shared" si="5" ref="D16:I16">D17*D18*D19/1000</f>
        <v>1149.1071428571427</v>
      </c>
      <c r="E16" s="231">
        <f t="shared" si="5"/>
        <v>1206.5624999999998</v>
      </c>
      <c r="F16" s="231">
        <f t="shared" si="5"/>
        <v>1266.8906249999998</v>
      </c>
      <c r="G16" s="231">
        <f t="shared" si="5"/>
        <v>1330.2351562499998</v>
      </c>
      <c r="H16" s="231">
        <f t="shared" si="5"/>
        <v>1396.7469140625</v>
      </c>
      <c r="I16" s="231">
        <f t="shared" si="5"/>
        <v>1466.584259765625</v>
      </c>
    </row>
    <row r="17" spans="1:9" ht="12.75">
      <c r="A17" s="81" t="s">
        <v>269</v>
      </c>
      <c r="B17" s="148">
        <v>30</v>
      </c>
      <c r="C17" s="149"/>
      <c r="D17" s="149">
        <f>B17</f>
        <v>30</v>
      </c>
      <c r="E17" s="149">
        <f>D17</f>
        <v>30</v>
      </c>
      <c r="F17" s="149">
        <f>E17</f>
        <v>30</v>
      </c>
      <c r="G17" s="149">
        <f>F17</f>
        <v>30</v>
      </c>
      <c r="H17" s="149">
        <f>G17</f>
        <v>30</v>
      </c>
      <c r="I17" s="149">
        <f>H17</f>
        <v>30</v>
      </c>
    </row>
    <row r="18" spans="1:10" ht="25.5">
      <c r="A18" s="81" t="s">
        <v>270</v>
      </c>
      <c r="B18" s="149">
        <f>Исх!C27</f>
        <v>66</v>
      </c>
      <c r="C18" s="149"/>
      <c r="D18" s="149">
        <f>B18</f>
        <v>66</v>
      </c>
      <c r="E18" s="149">
        <f>D18*1.05</f>
        <v>69.3</v>
      </c>
      <c r="F18" s="149">
        <f>E18*1.05</f>
        <v>72.765</v>
      </c>
      <c r="G18" s="149">
        <f>F18*1.05</f>
        <v>76.40325</v>
      </c>
      <c r="H18" s="149">
        <f>G18*1.05</f>
        <v>80.22341250000001</v>
      </c>
      <c r="I18" s="149">
        <f>H18*1.05</f>
        <v>84.23458312500001</v>
      </c>
      <c r="J18" s="301" t="s">
        <v>272</v>
      </c>
    </row>
    <row r="19" spans="1:9" ht="12.75">
      <c r="A19" s="81" t="s">
        <v>271</v>
      </c>
      <c r="B19" s="149">
        <f>Исх!C28/Исх!$C$18</f>
        <v>580.3571428571428</v>
      </c>
      <c r="C19" s="149"/>
      <c r="D19" s="149">
        <f>B19</f>
        <v>580.3571428571428</v>
      </c>
      <c r="E19" s="149">
        <f>D19</f>
        <v>580.3571428571428</v>
      </c>
      <c r="F19" s="149">
        <f>E19</f>
        <v>580.3571428571428</v>
      </c>
      <c r="G19" s="149">
        <f>F19</f>
        <v>580.3571428571428</v>
      </c>
      <c r="H19" s="149">
        <f>G19</f>
        <v>580.3571428571428</v>
      </c>
      <c r="I19" s="149">
        <f>H19</f>
        <v>580.3571428571428</v>
      </c>
    </row>
  </sheetData>
  <sheetProtection/>
  <printOptions/>
  <pageMargins left="0.49" right="0.18" top="0.64" bottom="2.11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8" sqref="G18"/>
    </sheetView>
  </sheetViews>
  <sheetFormatPr defaultColWidth="8.875" defaultRowHeight="12.75"/>
  <cols>
    <col min="1" max="1" width="33.625" style="78" customWidth="1"/>
    <col min="2" max="2" width="9.875" style="78" customWidth="1"/>
    <col min="3" max="3" width="10.75390625" style="78" customWidth="1"/>
    <col min="4" max="4" width="12.25390625" style="78" customWidth="1"/>
    <col min="5" max="8" width="10.75390625" style="78" customWidth="1"/>
    <col min="9" max="16384" width="8.875" style="78" customWidth="1"/>
  </cols>
  <sheetData>
    <row r="1" spans="1:3" ht="12.75">
      <c r="A1" s="62" t="s">
        <v>107</v>
      </c>
      <c r="B1" s="62"/>
      <c r="C1" s="62"/>
    </row>
    <row r="2" spans="1:2" ht="7.5" customHeight="1">
      <c r="A2" s="62"/>
      <c r="B2" s="62"/>
    </row>
    <row r="3" ht="12.75">
      <c r="A3" s="78" t="s">
        <v>47</v>
      </c>
    </row>
    <row r="4" spans="1:8" ht="12.75">
      <c r="A4" s="228" t="s">
        <v>117</v>
      </c>
      <c r="B4" s="229" t="str">
        <f>Дох!C4</f>
        <v>Строит-во</v>
      </c>
      <c r="C4" s="229">
        <f>Дох!D4</f>
        <v>2013</v>
      </c>
      <c r="D4" s="229">
        <f>Дох!E4</f>
        <v>2014</v>
      </c>
      <c r="E4" s="229">
        <f>Дох!F4</f>
        <v>2015</v>
      </c>
      <c r="F4" s="229">
        <f>Дох!G4</f>
        <v>2016</v>
      </c>
      <c r="G4" s="229">
        <f>Дох!H4</f>
        <v>2017</v>
      </c>
      <c r="H4" s="229">
        <f>Дох!I4</f>
        <v>2018</v>
      </c>
    </row>
    <row r="5" spans="1:8" ht="12.75">
      <c r="A5" s="230" t="s">
        <v>274</v>
      </c>
      <c r="B5" s="231">
        <f aca="true" t="shared" si="0" ref="B5:H5">SUM(B6:B6)</f>
        <v>0</v>
      </c>
      <c r="C5" s="231">
        <f t="shared" si="0"/>
        <v>574.5535714285713</v>
      </c>
      <c r="D5" s="231">
        <f t="shared" si="0"/>
        <v>603.2812499999999</v>
      </c>
      <c r="E5" s="231">
        <f t="shared" si="0"/>
        <v>633.4453124999999</v>
      </c>
      <c r="F5" s="231">
        <f t="shared" si="0"/>
        <v>665.1175781249999</v>
      </c>
      <c r="G5" s="231">
        <f t="shared" si="0"/>
        <v>698.37345703125</v>
      </c>
      <c r="H5" s="231">
        <f t="shared" si="0"/>
        <v>733.2921298828124</v>
      </c>
    </row>
    <row r="6" spans="1:8" ht="12.75">
      <c r="A6" s="81" t="s">
        <v>275</v>
      </c>
      <c r="B6" s="149">
        <f>Дох!C16*'Расх перем'!$E$8</f>
        <v>0</v>
      </c>
      <c r="C6" s="149">
        <f>Дох!D16*'Расх перем'!$E$8</f>
        <v>574.5535714285713</v>
      </c>
      <c r="D6" s="149">
        <f>Дох!E16*'Расх перем'!$E$8</f>
        <v>603.2812499999999</v>
      </c>
      <c r="E6" s="149">
        <f>Дох!F16*'Расх перем'!$E$8</f>
        <v>633.4453124999999</v>
      </c>
      <c r="F6" s="149">
        <f>Дох!G16*'Расх перем'!$E$8</f>
        <v>665.1175781249999</v>
      </c>
      <c r="G6" s="149">
        <f>Дох!H16*'Расх перем'!$E$8</f>
        <v>698.37345703125</v>
      </c>
      <c r="H6" s="149">
        <f>Дох!I16*'Расх перем'!$E$8</f>
        <v>733.2921298828124</v>
      </c>
    </row>
    <row r="8" spans="1:5" ht="12.75">
      <c r="A8" s="78" t="s">
        <v>276</v>
      </c>
      <c r="E8" s="163">
        <f>Исх!C29</f>
        <v>0.5</v>
      </c>
    </row>
    <row r="16" ht="7.5" customHeight="1"/>
    <row r="17" spans="1:4" s="151" customFormat="1" ht="12.75">
      <c r="A17" s="78"/>
      <c r="B17" s="78"/>
      <c r="C17" s="78"/>
      <c r="D17" s="78"/>
    </row>
    <row r="18" spans="1:11" s="151" customFormat="1" ht="12.7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</row>
  </sheetData>
  <sheetProtection/>
  <printOptions/>
  <pageMargins left="0.34" right="0.43" top="0.59" bottom="0.38" header="0.2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M35"/>
  <sheetViews>
    <sheetView showGridLines="0" zoomScalePageLayoutView="0" workbookViewId="0" topLeftCell="A1">
      <pane xSplit="1" ySplit="4" topLeftCell="B12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N18" sqref="N18"/>
    </sheetView>
  </sheetViews>
  <sheetFormatPr defaultColWidth="9.00390625" defaultRowHeight="12.75"/>
  <cols>
    <col min="1" max="1" width="5.625" style="78" customWidth="1"/>
    <col min="2" max="2" width="33.375" style="78" customWidth="1"/>
    <col min="3" max="3" width="10.00390625" style="78" customWidth="1"/>
    <col min="4" max="4" width="11.625" style="78" customWidth="1"/>
    <col min="5" max="5" width="12.75390625" style="78" customWidth="1"/>
    <col min="6" max="9" width="11.625" style="78" customWidth="1"/>
    <col min="10" max="10" width="10.125" style="78" customWidth="1"/>
    <col min="11" max="11" width="12.00390625" style="78" customWidth="1"/>
    <col min="12" max="16384" width="9.125" style="78" customWidth="1"/>
  </cols>
  <sheetData>
    <row r="1" ht="5.25" customHeight="1"/>
    <row r="2" spans="1:11" ht="16.5" customHeight="1">
      <c r="A2" s="62" t="s">
        <v>173</v>
      </c>
      <c r="D2" s="169"/>
      <c r="E2" s="169"/>
      <c r="F2" s="169"/>
      <c r="G2" s="169"/>
      <c r="H2" s="169"/>
      <c r="I2" s="169"/>
      <c r="J2" s="169"/>
      <c r="K2" s="227" t="str">
        <f>Исх!C9</f>
        <v>тыс.тг.</v>
      </c>
    </row>
    <row r="3" spans="1:11" ht="8.2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42" customHeight="1">
      <c r="A4" s="153" t="s">
        <v>40</v>
      </c>
      <c r="B4" s="154" t="s">
        <v>41</v>
      </c>
      <c r="C4" s="236" t="s">
        <v>42</v>
      </c>
      <c r="D4" s="155" t="s">
        <v>103</v>
      </c>
      <c r="E4" s="155" t="s">
        <v>104</v>
      </c>
      <c r="F4" s="155" t="s">
        <v>52</v>
      </c>
      <c r="G4" s="155" t="s">
        <v>53</v>
      </c>
      <c r="H4" s="155" t="s">
        <v>54</v>
      </c>
      <c r="I4" s="155" t="s">
        <v>55</v>
      </c>
      <c r="J4" s="155" t="s">
        <v>56</v>
      </c>
      <c r="K4" s="155" t="s">
        <v>49</v>
      </c>
    </row>
    <row r="5" spans="1:11" s="62" customFormat="1" ht="12.75">
      <c r="A5" s="146"/>
      <c r="B5" s="156" t="s">
        <v>102</v>
      </c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2.75">
      <c r="A6" s="81">
        <v>1</v>
      </c>
      <c r="B6" s="81" t="s">
        <v>135</v>
      </c>
      <c r="C6" s="81">
        <v>1</v>
      </c>
      <c r="D6" s="148">
        <v>130</v>
      </c>
      <c r="E6" s="157">
        <f>C6*D6</f>
        <v>130</v>
      </c>
      <c r="F6" s="157">
        <f>E6*$C$30</f>
        <v>13</v>
      </c>
      <c r="G6" s="157">
        <f>(E6-$C$34-F6)*$C$32</f>
        <v>10.100100000000001</v>
      </c>
      <c r="H6" s="157">
        <f>(E6-F6)*$C$31</f>
        <v>5.8500000000000005</v>
      </c>
      <c r="I6" s="157">
        <f>(E6-F6)*$C$33-H6</f>
        <v>7.019999999999999</v>
      </c>
      <c r="J6" s="157">
        <f>E6-F6-G6</f>
        <v>106.8999</v>
      </c>
      <c r="K6" s="158">
        <f>SUM(F6:J6)</f>
        <v>142.87</v>
      </c>
    </row>
    <row r="7" spans="1:11" ht="12.75">
      <c r="A7" s="81">
        <v>2</v>
      </c>
      <c r="B7" s="81" t="s">
        <v>277</v>
      </c>
      <c r="C7" s="81">
        <v>1</v>
      </c>
      <c r="D7" s="148">
        <v>100</v>
      </c>
      <c r="E7" s="157">
        <f>C7*D7</f>
        <v>100</v>
      </c>
      <c r="F7" s="157">
        <f>E7*$C$30</f>
        <v>10</v>
      </c>
      <c r="G7" s="157">
        <f>(E7-$C$34-F7)*$C$32</f>
        <v>7.400100000000001</v>
      </c>
      <c r="H7" s="157">
        <f>(E7-F7)*$C$31</f>
        <v>4.5</v>
      </c>
      <c r="I7" s="157">
        <f>(E7-F7)*$C$33-H7</f>
        <v>5.4</v>
      </c>
      <c r="J7" s="157">
        <f>E7-F7-G7</f>
        <v>82.5999</v>
      </c>
      <c r="K7" s="158">
        <f>SUM(F7:J7)</f>
        <v>109.9</v>
      </c>
    </row>
    <row r="8" spans="1:11" ht="12.75">
      <c r="A8" s="81">
        <v>3</v>
      </c>
      <c r="B8" s="81" t="s">
        <v>283</v>
      </c>
      <c r="C8" s="81">
        <v>2</v>
      </c>
      <c r="D8" s="148">
        <v>80</v>
      </c>
      <c r="E8" s="157">
        <f>C8*D8</f>
        <v>160</v>
      </c>
      <c r="F8" s="157">
        <f>E8*$C$30</f>
        <v>16</v>
      </c>
      <c r="G8" s="157">
        <f>(E8-$C$34-F8)*$C$32</f>
        <v>12.8001</v>
      </c>
      <c r="H8" s="157">
        <f>(E8-F8)*$C$31</f>
        <v>7.2</v>
      </c>
      <c r="I8" s="157">
        <f>(E8-F8)*$C$33-H8</f>
        <v>8.64</v>
      </c>
      <c r="J8" s="157">
        <f>E8-F8-G8</f>
        <v>131.1999</v>
      </c>
      <c r="K8" s="158">
        <f>SUM(F8:J8)</f>
        <v>175.84000000000003</v>
      </c>
    </row>
    <row r="9" spans="1:11" ht="12.75">
      <c r="A9" s="81">
        <v>4</v>
      </c>
      <c r="B9" s="81" t="s">
        <v>136</v>
      </c>
      <c r="C9" s="81">
        <v>1</v>
      </c>
      <c r="D9" s="148">
        <v>80</v>
      </c>
      <c r="E9" s="157">
        <f>C9*D9</f>
        <v>80</v>
      </c>
      <c r="F9" s="157">
        <f>E9*$C$30</f>
        <v>8</v>
      </c>
      <c r="G9" s="157">
        <f>(E9-$C$34-F9)*$C$32</f>
        <v>5.600100000000001</v>
      </c>
      <c r="H9" s="157">
        <f>(E9-F9)*$C$31</f>
        <v>3.6</v>
      </c>
      <c r="I9" s="157">
        <f>(E9-F9)*$C$33-H9</f>
        <v>4.32</v>
      </c>
      <c r="J9" s="157">
        <f>E9-F9-G9</f>
        <v>66.3999</v>
      </c>
      <c r="K9" s="158">
        <f>SUM(F9:J9)</f>
        <v>87.92</v>
      </c>
    </row>
    <row r="10" spans="1:11" s="62" customFormat="1" ht="12.75">
      <c r="A10" s="159"/>
      <c r="B10" s="159" t="s">
        <v>0</v>
      </c>
      <c r="C10" s="31">
        <f aca="true" t="shared" si="0" ref="C10:K10">SUM(C6:C9)</f>
        <v>5</v>
      </c>
      <c r="D10" s="31">
        <f t="shared" si="0"/>
        <v>390</v>
      </c>
      <c r="E10" s="31">
        <f t="shared" si="0"/>
        <v>470</v>
      </c>
      <c r="F10" s="31">
        <f t="shared" si="0"/>
        <v>47</v>
      </c>
      <c r="G10" s="31">
        <f t="shared" si="0"/>
        <v>35.900400000000005</v>
      </c>
      <c r="H10" s="31">
        <f t="shared" si="0"/>
        <v>21.150000000000002</v>
      </c>
      <c r="I10" s="31">
        <f t="shared" si="0"/>
        <v>25.38</v>
      </c>
      <c r="J10" s="31">
        <f t="shared" si="0"/>
        <v>387.0996</v>
      </c>
      <c r="K10" s="31">
        <f t="shared" si="0"/>
        <v>516.53</v>
      </c>
    </row>
    <row r="11" spans="1:11" s="62" customFormat="1" ht="12.75">
      <c r="A11" s="146"/>
      <c r="B11" s="146" t="s">
        <v>112</v>
      </c>
      <c r="C11" s="146"/>
      <c r="D11" s="147"/>
      <c r="E11" s="147"/>
      <c r="F11" s="147"/>
      <c r="G11" s="147"/>
      <c r="H11" s="147"/>
      <c r="I11" s="147"/>
      <c r="J11" s="147"/>
      <c r="K11" s="147"/>
    </row>
    <row r="12" spans="1:11" ht="12.75">
      <c r="A12" s="81">
        <v>1</v>
      </c>
      <c r="B12" s="81" t="s">
        <v>278</v>
      </c>
      <c r="C12" s="81">
        <v>2</v>
      </c>
      <c r="D12" s="148">
        <v>70</v>
      </c>
      <c r="E12" s="157">
        <f>C12*D12</f>
        <v>140</v>
      </c>
      <c r="F12" s="157">
        <f>E12*$C$30</f>
        <v>14</v>
      </c>
      <c r="G12" s="157">
        <f>(E12-$C$34-F12)*$C$32</f>
        <v>11.000100000000002</v>
      </c>
      <c r="H12" s="157">
        <f>(E12-F12)*$C$31</f>
        <v>6.300000000000001</v>
      </c>
      <c r="I12" s="157">
        <f>(E12-F12)*$C$33-H12</f>
        <v>7.559999999999999</v>
      </c>
      <c r="J12" s="157">
        <f>E12-F12-G12</f>
        <v>114.9999</v>
      </c>
      <c r="K12" s="158">
        <f>SUM(F12:J12)</f>
        <v>153.86</v>
      </c>
    </row>
    <row r="13" spans="1:11" ht="12.75">
      <c r="A13" s="81">
        <v>2</v>
      </c>
      <c r="B13" s="81" t="s">
        <v>279</v>
      </c>
      <c r="C13" s="157">
        <v>1</v>
      </c>
      <c r="D13" s="148">
        <v>70</v>
      </c>
      <c r="E13" s="157">
        <f>C13*D13</f>
        <v>70</v>
      </c>
      <c r="F13" s="157">
        <f>E13*$C$30</f>
        <v>7</v>
      </c>
      <c r="G13" s="157">
        <f>(E13-$C$34-F13)*$C$32</f>
        <v>4.7001</v>
      </c>
      <c r="H13" s="157">
        <f>(E13-F13)*$C$31</f>
        <v>3.1500000000000004</v>
      </c>
      <c r="I13" s="157">
        <f>(E13-F13)*$C$33-H13</f>
        <v>3.7799999999999994</v>
      </c>
      <c r="J13" s="157">
        <f>E13-F13-G13</f>
        <v>58.2999</v>
      </c>
      <c r="K13" s="158">
        <f>SUM(F13:J13)</f>
        <v>76.93</v>
      </c>
    </row>
    <row r="14" spans="1:11" ht="12.75">
      <c r="A14" s="81">
        <v>3</v>
      </c>
      <c r="B14" s="81" t="s">
        <v>125</v>
      </c>
      <c r="C14" s="157">
        <v>2</v>
      </c>
      <c r="D14" s="148">
        <v>70</v>
      </c>
      <c r="E14" s="157">
        <f>C14*D14</f>
        <v>140</v>
      </c>
      <c r="F14" s="157">
        <f>E14*$C$30</f>
        <v>14</v>
      </c>
      <c r="G14" s="157">
        <f>(E14-$C$34-F14)*$C$32</f>
        <v>11.000100000000002</v>
      </c>
      <c r="H14" s="157">
        <f>(E14-F14)*$C$31</f>
        <v>6.300000000000001</v>
      </c>
      <c r="I14" s="157">
        <f>(E14-F14)*$C$33-H14</f>
        <v>7.559999999999999</v>
      </c>
      <c r="J14" s="157">
        <f>E14-F14-G14</f>
        <v>114.9999</v>
      </c>
      <c r="K14" s="158">
        <f>SUM(F14:J14)</f>
        <v>153.86</v>
      </c>
    </row>
    <row r="15" spans="1:11" ht="12.75">
      <c r="A15" s="81">
        <v>4</v>
      </c>
      <c r="B15" s="81" t="s">
        <v>280</v>
      </c>
      <c r="C15" s="81">
        <v>3</v>
      </c>
      <c r="D15" s="148">
        <v>60</v>
      </c>
      <c r="E15" s="157">
        <f>C15*D15</f>
        <v>180</v>
      </c>
      <c r="F15" s="157">
        <f>E15*$C$30</f>
        <v>18</v>
      </c>
      <c r="G15" s="157">
        <f>(E15-$C$34-F15)*$C$32</f>
        <v>14.600100000000001</v>
      </c>
      <c r="H15" s="157">
        <f>(E15-F15)*$C$31</f>
        <v>8.1</v>
      </c>
      <c r="I15" s="157">
        <f>(E15-F15)*$C$33-H15</f>
        <v>9.72</v>
      </c>
      <c r="J15" s="157">
        <f>E15-F15-G15</f>
        <v>147.3999</v>
      </c>
      <c r="K15" s="158">
        <f>SUM(F15:J15)</f>
        <v>197.82</v>
      </c>
    </row>
    <row r="16" spans="1:11" s="62" customFormat="1" ht="12.75">
      <c r="A16" s="159"/>
      <c r="B16" s="160" t="s">
        <v>0</v>
      </c>
      <c r="C16" s="159">
        <f aca="true" t="shared" si="1" ref="C16:K16">SUM(C11:C15)</f>
        <v>8</v>
      </c>
      <c r="D16" s="158">
        <f t="shared" si="1"/>
        <v>270</v>
      </c>
      <c r="E16" s="158">
        <f t="shared" si="1"/>
        <v>530</v>
      </c>
      <c r="F16" s="158">
        <f t="shared" si="1"/>
        <v>53</v>
      </c>
      <c r="G16" s="158">
        <f t="shared" si="1"/>
        <v>41.30040000000001</v>
      </c>
      <c r="H16" s="158">
        <f t="shared" si="1"/>
        <v>23.85</v>
      </c>
      <c r="I16" s="158">
        <f t="shared" si="1"/>
        <v>28.619999999999997</v>
      </c>
      <c r="J16" s="158">
        <f t="shared" si="1"/>
        <v>435.69960000000003</v>
      </c>
      <c r="K16" s="158">
        <f t="shared" si="1"/>
        <v>582.47</v>
      </c>
    </row>
    <row r="17" spans="1:11" s="62" customFormat="1" ht="12.75">
      <c r="A17" s="146"/>
      <c r="B17" s="146" t="s">
        <v>113</v>
      </c>
      <c r="C17" s="146"/>
      <c r="D17" s="147"/>
      <c r="E17" s="147"/>
      <c r="F17" s="147"/>
      <c r="G17" s="147"/>
      <c r="H17" s="147"/>
      <c r="I17" s="147"/>
      <c r="J17" s="147"/>
      <c r="K17" s="147"/>
    </row>
    <row r="18" spans="1:11" ht="12.75">
      <c r="A18" s="81">
        <v>1</v>
      </c>
      <c r="B18" s="81" t="s">
        <v>127</v>
      </c>
      <c r="C18" s="81">
        <v>2</v>
      </c>
      <c r="D18" s="148">
        <v>65</v>
      </c>
      <c r="E18" s="157">
        <f>C18*D18</f>
        <v>130</v>
      </c>
      <c r="F18" s="157">
        <f>E18*$C$30</f>
        <v>13</v>
      </c>
      <c r="G18" s="157">
        <f>(E18-$C$34-F18)*$C$32</f>
        <v>10.100100000000001</v>
      </c>
      <c r="H18" s="157">
        <f>(E18-F18)*$C$31</f>
        <v>5.8500000000000005</v>
      </c>
      <c r="I18" s="157">
        <f>(E18-F18)*$C$33-H18</f>
        <v>7.019999999999999</v>
      </c>
      <c r="J18" s="157">
        <f>E18-F18-G18</f>
        <v>106.8999</v>
      </c>
      <c r="K18" s="158">
        <f>SUM(F18:J18)</f>
        <v>142.87</v>
      </c>
    </row>
    <row r="19" spans="1:11" ht="12.75">
      <c r="A19" s="81">
        <v>2</v>
      </c>
      <c r="B19" s="81" t="s">
        <v>137</v>
      </c>
      <c r="C19" s="81">
        <v>3</v>
      </c>
      <c r="D19" s="148">
        <v>50</v>
      </c>
      <c r="E19" s="157">
        <f>C19*D19</f>
        <v>150</v>
      </c>
      <c r="F19" s="157">
        <f>E19*$C$30</f>
        <v>15</v>
      </c>
      <c r="G19" s="157">
        <f>(E19-$C$34-F19)*$C$32</f>
        <v>11.900100000000002</v>
      </c>
      <c r="H19" s="157">
        <f>(E19-F19)*$C$31</f>
        <v>6.75</v>
      </c>
      <c r="I19" s="157">
        <f>(E19-F19)*$C$33-H19</f>
        <v>8.1</v>
      </c>
      <c r="J19" s="157">
        <f>E19-F19-G19</f>
        <v>123.09989999999999</v>
      </c>
      <c r="K19" s="158">
        <f>SUM(F19:J19)</f>
        <v>164.85</v>
      </c>
    </row>
    <row r="20" spans="1:11" s="62" customFormat="1" ht="12.75">
      <c r="A20" s="159"/>
      <c r="B20" s="160" t="s">
        <v>0</v>
      </c>
      <c r="C20" s="159">
        <f aca="true" t="shared" si="2" ref="C20:K20">SUM(C18:C19)</f>
        <v>5</v>
      </c>
      <c r="D20" s="158">
        <f t="shared" si="2"/>
        <v>115</v>
      </c>
      <c r="E20" s="158">
        <f t="shared" si="2"/>
        <v>280</v>
      </c>
      <c r="F20" s="158">
        <f t="shared" si="2"/>
        <v>28</v>
      </c>
      <c r="G20" s="158">
        <f t="shared" si="2"/>
        <v>22.000200000000003</v>
      </c>
      <c r="H20" s="158">
        <f t="shared" si="2"/>
        <v>12.600000000000001</v>
      </c>
      <c r="I20" s="158">
        <f t="shared" si="2"/>
        <v>15.119999999999997</v>
      </c>
      <c r="J20" s="158">
        <f t="shared" si="2"/>
        <v>229.9998</v>
      </c>
      <c r="K20" s="158">
        <f t="shared" si="2"/>
        <v>307.72</v>
      </c>
    </row>
    <row r="21" spans="1:11" s="62" customFormat="1" ht="12.75">
      <c r="A21" s="146"/>
      <c r="B21" s="146" t="s">
        <v>126</v>
      </c>
      <c r="C21" s="146"/>
      <c r="D21" s="147"/>
      <c r="E21" s="147"/>
      <c r="F21" s="147"/>
      <c r="G21" s="147"/>
      <c r="H21" s="147"/>
      <c r="I21" s="147"/>
      <c r="J21" s="147"/>
      <c r="K21" s="147"/>
    </row>
    <row r="22" spans="1:13" ht="12.75">
      <c r="A22" s="81">
        <v>1</v>
      </c>
      <c r="B22" s="81" t="s">
        <v>138</v>
      </c>
      <c r="C22" s="81">
        <f>1*3</f>
        <v>3</v>
      </c>
      <c r="D22" s="148">
        <v>40</v>
      </c>
      <c r="E22" s="157">
        <f>C22*D22</f>
        <v>120</v>
      </c>
      <c r="F22" s="157">
        <f>E22*$C$30</f>
        <v>12</v>
      </c>
      <c r="G22" s="157">
        <f>(E22-$C$34-F22)*$C$32</f>
        <v>9.2001</v>
      </c>
      <c r="H22" s="157">
        <f>(E22-F22)*$C$31</f>
        <v>5.4</v>
      </c>
      <c r="I22" s="157">
        <f>(E22-F22)*$C$33-H22</f>
        <v>6.48</v>
      </c>
      <c r="J22" s="157">
        <f>E22-F22-G22</f>
        <v>98.7999</v>
      </c>
      <c r="K22" s="158">
        <f>SUM(F22:J22)</f>
        <v>131.88</v>
      </c>
      <c r="M22" s="161"/>
    </row>
    <row r="23" spans="1:13" ht="12.75">
      <c r="A23" s="81">
        <v>2</v>
      </c>
      <c r="B23" s="81" t="s">
        <v>281</v>
      </c>
      <c r="C23" s="81">
        <v>2</v>
      </c>
      <c r="D23" s="148">
        <v>60</v>
      </c>
      <c r="E23" s="157">
        <f>C23*D23</f>
        <v>120</v>
      </c>
      <c r="F23" s="157">
        <f>E23*$C$30</f>
        <v>12</v>
      </c>
      <c r="G23" s="157">
        <f>(E23-$C$34-F23)*$C$32</f>
        <v>9.2001</v>
      </c>
      <c r="H23" s="157">
        <f>(E23-F23)*$C$31</f>
        <v>5.4</v>
      </c>
      <c r="I23" s="157">
        <f>(E23-F23)*$C$33-H23</f>
        <v>6.48</v>
      </c>
      <c r="J23" s="157">
        <f>E23-F23-G23</f>
        <v>98.7999</v>
      </c>
      <c r="K23" s="158">
        <f>SUM(F23:J23)</f>
        <v>131.88</v>
      </c>
      <c r="M23" s="161"/>
    </row>
    <row r="24" spans="1:13" ht="12.75">
      <c r="A24" s="81">
        <v>3</v>
      </c>
      <c r="B24" s="81" t="s">
        <v>139</v>
      </c>
      <c r="C24" s="81">
        <v>1</v>
      </c>
      <c r="D24" s="148">
        <v>50</v>
      </c>
      <c r="E24" s="157">
        <f>C24*D24</f>
        <v>50</v>
      </c>
      <c r="F24" s="157">
        <f>E24*$C$30</f>
        <v>5</v>
      </c>
      <c r="G24" s="157">
        <f>(E24-$C$34-F24)*$C$32</f>
        <v>2.9001</v>
      </c>
      <c r="H24" s="157">
        <f>(E24-F24)*$C$31</f>
        <v>2.25</v>
      </c>
      <c r="I24" s="157">
        <f>(E24-F24)*$C$33-H24</f>
        <v>2.7</v>
      </c>
      <c r="J24" s="157">
        <f>E24-F24-G24</f>
        <v>42.0999</v>
      </c>
      <c r="K24" s="158">
        <f>SUM(F24:J24)</f>
        <v>54.95</v>
      </c>
      <c r="M24" s="161"/>
    </row>
    <row r="25" spans="1:11" ht="12.75">
      <c r="A25" s="81">
        <v>4</v>
      </c>
      <c r="B25" s="81" t="s">
        <v>282</v>
      </c>
      <c r="C25" s="81">
        <v>1</v>
      </c>
      <c r="D25" s="148">
        <v>40</v>
      </c>
      <c r="E25" s="157">
        <f>C25*D25</f>
        <v>40</v>
      </c>
      <c r="F25" s="157">
        <f>E25*$C$30</f>
        <v>4</v>
      </c>
      <c r="G25" s="157">
        <f>(E25-$C$34-F25)*$C$32</f>
        <v>2.0000999999999998</v>
      </c>
      <c r="H25" s="157">
        <f>(E25-F25)*$C$31</f>
        <v>1.8</v>
      </c>
      <c r="I25" s="157">
        <f>(E25-F25)*$C$33-H25</f>
        <v>2.16</v>
      </c>
      <c r="J25" s="157">
        <f>E25-F25-G25</f>
        <v>33.9999</v>
      </c>
      <c r="K25" s="158">
        <f>SUM(F25:J25)</f>
        <v>43.959999999999994</v>
      </c>
    </row>
    <row r="26" spans="1:11" s="62" customFormat="1" ht="12.75">
      <c r="A26" s="159"/>
      <c r="B26" s="160" t="s">
        <v>0</v>
      </c>
      <c r="C26" s="159">
        <f aca="true" t="shared" si="3" ref="C26:K26">SUM(C22:C25)</f>
        <v>7</v>
      </c>
      <c r="D26" s="158">
        <f t="shared" si="3"/>
        <v>190</v>
      </c>
      <c r="E26" s="158">
        <f t="shared" si="3"/>
        <v>330</v>
      </c>
      <c r="F26" s="158">
        <f t="shared" si="3"/>
        <v>33</v>
      </c>
      <c r="G26" s="158">
        <f t="shared" si="3"/>
        <v>23.3004</v>
      </c>
      <c r="H26" s="158">
        <f t="shared" si="3"/>
        <v>14.850000000000001</v>
      </c>
      <c r="I26" s="158">
        <f t="shared" si="3"/>
        <v>17.82</v>
      </c>
      <c r="J26" s="158">
        <f t="shared" si="3"/>
        <v>273.6996</v>
      </c>
      <c r="K26" s="158">
        <f t="shared" si="3"/>
        <v>362.66999999999996</v>
      </c>
    </row>
    <row r="27" spans="1:11" ht="12.75">
      <c r="A27" s="81"/>
      <c r="B27" s="81"/>
      <c r="C27" s="81"/>
      <c r="D27" s="157"/>
      <c r="E27" s="157"/>
      <c r="F27" s="157"/>
      <c r="G27" s="157"/>
      <c r="H27" s="157"/>
      <c r="I27" s="157"/>
      <c r="J27" s="157"/>
      <c r="K27" s="157"/>
    </row>
    <row r="28" spans="1:11" s="62" customFormat="1" ht="12.75">
      <c r="A28" s="159"/>
      <c r="B28" s="159" t="s">
        <v>128</v>
      </c>
      <c r="C28" s="158">
        <f aca="true" t="shared" si="4" ref="C28:K28">C10+C16+C20+C26</f>
        <v>25</v>
      </c>
      <c r="D28" s="158">
        <f t="shared" si="4"/>
        <v>965</v>
      </c>
      <c r="E28" s="158">
        <f t="shared" si="4"/>
        <v>1610</v>
      </c>
      <c r="F28" s="158">
        <f t="shared" si="4"/>
        <v>161</v>
      </c>
      <c r="G28" s="158">
        <f t="shared" si="4"/>
        <v>122.50140000000002</v>
      </c>
      <c r="H28" s="158">
        <f t="shared" si="4"/>
        <v>72.45</v>
      </c>
      <c r="I28" s="158">
        <f t="shared" si="4"/>
        <v>86.94</v>
      </c>
      <c r="J28" s="158">
        <f t="shared" si="4"/>
        <v>1326.4986</v>
      </c>
      <c r="K28" s="162">
        <f t="shared" si="4"/>
        <v>1769.3899999999999</v>
      </c>
    </row>
    <row r="30" spans="2:10" ht="12.75">
      <c r="B30" s="81" t="s">
        <v>52</v>
      </c>
      <c r="C30" s="163">
        <f>Исх!C11</f>
        <v>0.1</v>
      </c>
      <c r="D30" s="164"/>
      <c r="E30" s="164"/>
      <c r="F30" s="164"/>
      <c r="G30" s="285"/>
      <c r="H30" s="285"/>
      <c r="I30" s="285"/>
      <c r="J30" s="285"/>
    </row>
    <row r="31" spans="2:10" ht="12.75">
      <c r="B31" s="81" t="s">
        <v>57</v>
      </c>
      <c r="C31" s="163">
        <f>Исх!C12</f>
        <v>0.05</v>
      </c>
      <c r="D31" s="164"/>
      <c r="E31" s="164"/>
      <c r="F31" s="164"/>
      <c r="G31" s="164"/>
      <c r="H31" s="164"/>
      <c r="I31" s="165"/>
      <c r="J31" s="166"/>
    </row>
    <row r="32" spans="2:10" ht="12.75">
      <c r="B32" s="81" t="s">
        <v>53</v>
      </c>
      <c r="C32" s="163">
        <f>Исх!C13</f>
        <v>0.1</v>
      </c>
      <c r="D32" s="164"/>
      <c r="E32" s="164"/>
      <c r="F32" s="164"/>
      <c r="G32" s="164"/>
      <c r="H32" s="164"/>
      <c r="I32" s="165"/>
      <c r="J32" s="166"/>
    </row>
    <row r="33" spans="2:10" ht="12.75">
      <c r="B33" s="81" t="s">
        <v>55</v>
      </c>
      <c r="C33" s="163">
        <f>Исх!C14</f>
        <v>0.11</v>
      </c>
      <c r="D33" s="167"/>
      <c r="E33" s="167"/>
      <c r="F33" s="164"/>
      <c r="G33" s="164"/>
      <c r="H33" s="164"/>
      <c r="I33" s="165"/>
      <c r="J33" s="166"/>
    </row>
    <row r="34" spans="2:3" ht="12.75">
      <c r="B34" s="81" t="s">
        <v>134</v>
      </c>
      <c r="C34" s="168">
        <f>Исх!C15</f>
        <v>15.999</v>
      </c>
    </row>
    <row r="35" spans="7:10" ht="12.75">
      <c r="G35" s="164"/>
      <c r="H35" s="164"/>
      <c r="I35" s="165"/>
      <c r="J35" s="166"/>
    </row>
  </sheetData>
  <sheetProtection/>
  <mergeCells count="1">
    <mergeCell ref="G30:J30"/>
  </mergeCells>
  <printOptions/>
  <pageMargins left="0.2755905511811024" right="0.2755905511811024" top="0.35433070866141736" bottom="0.35433070866141736" header="0.2362204724409449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K49"/>
  <sheetViews>
    <sheetView showGridLines="0" zoomScalePageLayoutView="0" workbookViewId="0" topLeftCell="A1">
      <pane ySplit="5" topLeftCell="A6" activePane="bottomLeft" state="frozen"/>
      <selection pane="topLeft" activeCell="A34" sqref="A34"/>
      <selection pane="bottomLeft" activeCell="L10" sqref="L10"/>
    </sheetView>
  </sheetViews>
  <sheetFormatPr defaultColWidth="8.875" defaultRowHeight="12.75" outlineLevelRow="1"/>
  <cols>
    <col min="1" max="1" width="33.625" style="78" customWidth="1"/>
    <col min="2" max="2" width="13.125" style="78" customWidth="1"/>
    <col min="3" max="3" width="12.25390625" style="78" customWidth="1"/>
    <col min="4" max="7" width="10.75390625" style="78" customWidth="1"/>
    <col min="8" max="9" width="8.875" style="78" customWidth="1"/>
    <col min="10" max="10" width="17.875" style="78" customWidth="1"/>
    <col min="11" max="16384" width="8.875" style="78" customWidth="1"/>
  </cols>
  <sheetData>
    <row r="1" ht="12.75">
      <c r="A1" s="62" t="s">
        <v>179</v>
      </c>
    </row>
    <row r="2" ht="12.75">
      <c r="A2" s="62"/>
    </row>
    <row r="3" spans="1:11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9" ht="12.75">
      <c r="A4" s="78" t="s">
        <v>47</v>
      </c>
      <c r="C4" s="143"/>
      <c r="D4" s="143"/>
      <c r="E4" s="143"/>
      <c r="F4" s="143"/>
      <c r="G4" s="143"/>
      <c r="H4" s="143"/>
      <c r="I4" s="150" t="str">
        <f>Исх!C9</f>
        <v>тыс.тг.</v>
      </c>
    </row>
    <row r="5" spans="1:9" ht="12.75">
      <c r="A5" s="230" t="s">
        <v>48</v>
      </c>
      <c r="B5" s="257"/>
      <c r="C5" s="257">
        <v>2012</v>
      </c>
      <c r="D5" s="257">
        <v>2013</v>
      </c>
      <c r="E5" s="257">
        <f>D5+1</f>
        <v>2014</v>
      </c>
      <c r="F5" s="257">
        <f>E5+1</f>
        <v>2015</v>
      </c>
      <c r="G5" s="257">
        <f>F5+1</f>
        <v>2016</v>
      </c>
      <c r="H5" s="257">
        <f>G5+1</f>
        <v>2017</v>
      </c>
      <c r="I5" s="257">
        <f>H5+1</f>
        <v>2018</v>
      </c>
    </row>
    <row r="6" spans="1:9" ht="12.75">
      <c r="A6" s="81" t="s">
        <v>49</v>
      </c>
      <c r="B6" s="149"/>
      <c r="C6" s="157">
        <f>ФОТ!K28</f>
        <v>1769.3899999999999</v>
      </c>
      <c r="D6" s="157">
        <f aca="true" t="shared" si="0" ref="D6:I6">C6</f>
        <v>1769.3899999999999</v>
      </c>
      <c r="E6" s="157">
        <f t="shared" si="0"/>
        <v>1769.3899999999999</v>
      </c>
      <c r="F6" s="157">
        <f t="shared" si="0"/>
        <v>1769.3899999999999</v>
      </c>
      <c r="G6" s="157">
        <f t="shared" si="0"/>
        <v>1769.3899999999999</v>
      </c>
      <c r="H6" s="157">
        <f t="shared" si="0"/>
        <v>1769.3899999999999</v>
      </c>
      <c r="I6" s="157">
        <f t="shared" si="0"/>
        <v>1769.3899999999999</v>
      </c>
    </row>
    <row r="7" spans="1:10" ht="12.75">
      <c r="A7" s="170" t="s">
        <v>284</v>
      </c>
      <c r="B7" s="254"/>
      <c r="C7" s="148">
        <v>200</v>
      </c>
      <c r="D7" s="157">
        <f aca="true" t="shared" si="1" ref="D7:I7">C7+C7*$D$3</f>
        <v>200</v>
      </c>
      <c r="E7" s="157">
        <f t="shared" si="1"/>
        <v>200</v>
      </c>
      <c r="F7" s="157">
        <f t="shared" si="1"/>
        <v>200</v>
      </c>
      <c r="G7" s="157">
        <f t="shared" si="1"/>
        <v>200</v>
      </c>
      <c r="H7" s="157">
        <f t="shared" si="1"/>
        <v>200</v>
      </c>
      <c r="I7" s="157">
        <f t="shared" si="1"/>
        <v>200</v>
      </c>
      <c r="J7" s="78" t="s">
        <v>330</v>
      </c>
    </row>
    <row r="8" spans="1:9" ht="12.75">
      <c r="A8" s="170" t="s">
        <v>121</v>
      </c>
      <c r="B8" s="149"/>
      <c r="C8" s="148">
        <v>40</v>
      </c>
      <c r="D8" s="157">
        <f aca="true" t="shared" si="2" ref="D8:I20">C8+C8*$D$3</f>
        <v>40</v>
      </c>
      <c r="E8" s="157">
        <f t="shared" si="2"/>
        <v>40</v>
      </c>
      <c r="F8" s="157">
        <f t="shared" si="2"/>
        <v>40</v>
      </c>
      <c r="G8" s="157">
        <f t="shared" si="2"/>
        <v>40</v>
      </c>
      <c r="H8" s="157">
        <f t="shared" si="2"/>
        <v>40</v>
      </c>
      <c r="I8" s="157">
        <f t="shared" si="2"/>
        <v>40</v>
      </c>
    </row>
    <row r="9" spans="1:9" ht="12.75">
      <c r="A9" s="170" t="s">
        <v>314</v>
      </c>
      <c r="B9" s="149"/>
      <c r="C9" s="148">
        <v>15</v>
      </c>
      <c r="D9" s="157">
        <f t="shared" si="2"/>
        <v>15</v>
      </c>
      <c r="E9" s="157">
        <f t="shared" si="2"/>
        <v>15</v>
      </c>
      <c r="F9" s="157">
        <f t="shared" si="2"/>
        <v>15</v>
      </c>
      <c r="G9" s="157">
        <f t="shared" si="2"/>
        <v>15</v>
      </c>
      <c r="H9" s="157">
        <f t="shared" si="2"/>
        <v>15</v>
      </c>
      <c r="I9" s="157">
        <f t="shared" si="2"/>
        <v>15</v>
      </c>
    </row>
    <row r="10" spans="1:9" ht="25.5">
      <c r="A10" s="170" t="s">
        <v>285</v>
      </c>
      <c r="B10" s="149"/>
      <c r="C10" s="148">
        <v>130</v>
      </c>
      <c r="D10" s="157">
        <f aca="true" t="shared" si="3" ref="D10:I10">C10+C10*$D$3</f>
        <v>130</v>
      </c>
      <c r="E10" s="157">
        <f t="shared" si="3"/>
        <v>130</v>
      </c>
      <c r="F10" s="157">
        <f t="shared" si="3"/>
        <v>130</v>
      </c>
      <c r="G10" s="157">
        <f t="shared" si="3"/>
        <v>130</v>
      </c>
      <c r="H10" s="157">
        <f t="shared" si="3"/>
        <v>130</v>
      </c>
      <c r="I10" s="157">
        <f t="shared" si="3"/>
        <v>130</v>
      </c>
    </row>
    <row r="11" spans="1:9" ht="12.75">
      <c r="A11" s="170" t="s">
        <v>286</v>
      </c>
      <c r="B11" s="254"/>
      <c r="C11" s="148">
        <v>40</v>
      </c>
      <c r="D11" s="157">
        <f t="shared" si="2"/>
        <v>40</v>
      </c>
      <c r="E11" s="157">
        <f t="shared" si="2"/>
        <v>40</v>
      </c>
      <c r="F11" s="157">
        <f t="shared" si="2"/>
        <v>40</v>
      </c>
      <c r="G11" s="157">
        <f t="shared" si="2"/>
        <v>40</v>
      </c>
      <c r="H11" s="157">
        <f t="shared" si="2"/>
        <v>40</v>
      </c>
      <c r="I11" s="157">
        <f t="shared" si="2"/>
        <v>40</v>
      </c>
    </row>
    <row r="12" spans="1:9" ht="12.75">
      <c r="A12" s="170" t="s">
        <v>140</v>
      </c>
      <c r="B12" s="254" t="s">
        <v>234</v>
      </c>
      <c r="C12" s="148">
        <v>17</v>
      </c>
      <c r="D12" s="157">
        <f aca="true" t="shared" si="4" ref="D12:I12">C12+C12*$D$3</f>
        <v>17</v>
      </c>
      <c r="E12" s="157">
        <f t="shared" si="4"/>
        <v>17</v>
      </c>
      <c r="F12" s="157">
        <f t="shared" si="4"/>
        <v>17</v>
      </c>
      <c r="G12" s="157">
        <f t="shared" si="4"/>
        <v>17</v>
      </c>
      <c r="H12" s="157">
        <f t="shared" si="4"/>
        <v>17</v>
      </c>
      <c r="I12" s="157">
        <f t="shared" si="4"/>
        <v>17</v>
      </c>
    </row>
    <row r="13" spans="1:9" ht="12.75">
      <c r="A13" s="170" t="s">
        <v>129</v>
      </c>
      <c r="B13" s="149"/>
      <c r="C13" s="148">
        <v>16</v>
      </c>
      <c r="D13" s="157">
        <f t="shared" si="2"/>
        <v>16</v>
      </c>
      <c r="E13" s="157">
        <f t="shared" si="2"/>
        <v>16</v>
      </c>
      <c r="F13" s="157">
        <f t="shared" si="2"/>
        <v>16</v>
      </c>
      <c r="G13" s="157">
        <f t="shared" si="2"/>
        <v>16</v>
      </c>
      <c r="H13" s="157">
        <f t="shared" si="2"/>
        <v>16</v>
      </c>
      <c r="I13" s="157">
        <f t="shared" si="2"/>
        <v>16</v>
      </c>
    </row>
    <row r="14" spans="1:9" ht="12.75">
      <c r="A14" s="81" t="s">
        <v>50</v>
      </c>
      <c r="B14" s="149"/>
      <c r="C14" s="148">
        <v>3</v>
      </c>
      <c r="D14" s="157">
        <f t="shared" si="2"/>
        <v>3</v>
      </c>
      <c r="E14" s="157">
        <f t="shared" si="2"/>
        <v>3</v>
      </c>
      <c r="F14" s="157">
        <f t="shared" si="2"/>
        <v>3</v>
      </c>
      <c r="G14" s="157">
        <f t="shared" si="2"/>
        <v>3</v>
      </c>
      <c r="H14" s="157">
        <f t="shared" si="2"/>
        <v>3</v>
      </c>
      <c r="I14" s="157">
        <f t="shared" si="2"/>
        <v>3</v>
      </c>
    </row>
    <row r="15" spans="1:9" ht="12.75">
      <c r="A15" s="81" t="s">
        <v>114</v>
      </c>
      <c r="B15" s="149"/>
      <c r="C15" s="148">
        <v>55</v>
      </c>
      <c r="D15" s="157">
        <f t="shared" si="2"/>
        <v>55</v>
      </c>
      <c r="E15" s="157">
        <f t="shared" si="2"/>
        <v>55</v>
      </c>
      <c r="F15" s="157">
        <f t="shared" si="2"/>
        <v>55</v>
      </c>
      <c r="G15" s="157">
        <f t="shared" si="2"/>
        <v>55</v>
      </c>
      <c r="H15" s="157">
        <f t="shared" si="2"/>
        <v>55</v>
      </c>
      <c r="I15" s="157">
        <f t="shared" si="2"/>
        <v>55</v>
      </c>
    </row>
    <row r="16" spans="1:9" ht="12.75">
      <c r="A16" s="81" t="s">
        <v>287</v>
      </c>
      <c r="B16" s="149"/>
      <c r="C16" s="148">
        <v>25</v>
      </c>
      <c r="D16" s="157">
        <f aca="true" t="shared" si="5" ref="D16:I17">C16+C16*$D$3</f>
        <v>25</v>
      </c>
      <c r="E16" s="157">
        <f t="shared" si="5"/>
        <v>25</v>
      </c>
      <c r="F16" s="157">
        <f t="shared" si="5"/>
        <v>25</v>
      </c>
      <c r="G16" s="157">
        <f t="shared" si="5"/>
        <v>25</v>
      </c>
      <c r="H16" s="157">
        <f t="shared" si="5"/>
        <v>25</v>
      </c>
      <c r="I16" s="157">
        <f t="shared" si="5"/>
        <v>25</v>
      </c>
    </row>
    <row r="17" spans="1:9" ht="12.75">
      <c r="A17" s="81" t="s">
        <v>288</v>
      </c>
      <c r="B17" s="149"/>
      <c r="C17" s="148">
        <v>30</v>
      </c>
      <c r="D17" s="157">
        <f t="shared" si="5"/>
        <v>30</v>
      </c>
      <c r="E17" s="157">
        <f t="shared" si="5"/>
        <v>30</v>
      </c>
      <c r="F17" s="157">
        <f t="shared" si="5"/>
        <v>30</v>
      </c>
      <c r="G17" s="157">
        <f t="shared" si="5"/>
        <v>30</v>
      </c>
      <c r="H17" s="157">
        <f t="shared" si="5"/>
        <v>30</v>
      </c>
      <c r="I17" s="157">
        <f t="shared" si="5"/>
        <v>30</v>
      </c>
    </row>
    <row r="18" spans="1:9" ht="12.75">
      <c r="A18" s="81" t="s">
        <v>86</v>
      </c>
      <c r="B18" s="149"/>
      <c r="C18" s="148">
        <v>25</v>
      </c>
      <c r="D18" s="157">
        <f t="shared" si="2"/>
        <v>25</v>
      </c>
      <c r="E18" s="157">
        <f t="shared" si="2"/>
        <v>25</v>
      </c>
      <c r="F18" s="157">
        <f t="shared" si="2"/>
        <v>25</v>
      </c>
      <c r="G18" s="157">
        <f t="shared" si="2"/>
        <v>25</v>
      </c>
      <c r="H18" s="157">
        <f t="shared" si="2"/>
        <v>25</v>
      </c>
      <c r="I18" s="157">
        <f t="shared" si="2"/>
        <v>25</v>
      </c>
    </row>
    <row r="19" spans="1:9" ht="12.75">
      <c r="A19" s="81" t="s">
        <v>115</v>
      </c>
      <c r="B19" s="149"/>
      <c r="C19" s="148">
        <v>8</v>
      </c>
      <c r="D19" s="157">
        <f aca="true" t="shared" si="6" ref="D19:I19">C19+C19*$D$3</f>
        <v>8</v>
      </c>
      <c r="E19" s="157">
        <f t="shared" si="6"/>
        <v>8</v>
      </c>
      <c r="F19" s="157">
        <f t="shared" si="6"/>
        <v>8</v>
      </c>
      <c r="G19" s="157">
        <f t="shared" si="6"/>
        <v>8</v>
      </c>
      <c r="H19" s="157">
        <f t="shared" si="6"/>
        <v>8</v>
      </c>
      <c r="I19" s="157">
        <f t="shared" si="6"/>
        <v>8</v>
      </c>
    </row>
    <row r="20" spans="1:9" ht="12.75">
      <c r="A20" s="81" t="s">
        <v>51</v>
      </c>
      <c r="B20" s="157"/>
      <c r="C20" s="148">
        <v>40</v>
      </c>
      <c r="D20" s="157">
        <f t="shared" si="2"/>
        <v>40</v>
      </c>
      <c r="E20" s="157">
        <f t="shared" si="2"/>
        <v>40</v>
      </c>
      <c r="F20" s="157">
        <f t="shared" si="2"/>
        <v>40</v>
      </c>
      <c r="G20" s="157">
        <f t="shared" si="2"/>
        <v>40</v>
      </c>
      <c r="H20" s="157">
        <f t="shared" si="2"/>
        <v>40</v>
      </c>
      <c r="I20" s="157">
        <f t="shared" si="2"/>
        <v>40</v>
      </c>
    </row>
    <row r="21" spans="1:9" ht="12.75">
      <c r="A21" s="230" t="s">
        <v>0</v>
      </c>
      <c r="B21" s="231"/>
      <c r="C21" s="231">
        <f aca="true" t="shared" si="7" ref="C21:I21">SUM(C6:C20)</f>
        <v>2413.39</v>
      </c>
      <c r="D21" s="231">
        <f t="shared" si="7"/>
        <v>2413.39</v>
      </c>
      <c r="E21" s="231">
        <f t="shared" si="7"/>
        <v>2413.39</v>
      </c>
      <c r="F21" s="231">
        <f t="shared" si="7"/>
        <v>2413.39</v>
      </c>
      <c r="G21" s="231">
        <f t="shared" si="7"/>
        <v>2413.39</v>
      </c>
      <c r="H21" s="231">
        <f t="shared" si="7"/>
        <v>2413.39</v>
      </c>
      <c r="I21" s="231">
        <f t="shared" si="7"/>
        <v>2413.39</v>
      </c>
    </row>
    <row r="23" spans="1:9" ht="12.75">
      <c r="A23" s="62" t="s">
        <v>87</v>
      </c>
      <c r="C23" s="172">
        <f aca="true" t="shared" si="8" ref="C23:I23">SUM(C24:C24)</f>
        <v>3.53878</v>
      </c>
      <c r="D23" s="172">
        <f t="shared" si="8"/>
        <v>3.53878</v>
      </c>
      <c r="E23" s="172">
        <f t="shared" si="8"/>
        <v>3.53878</v>
      </c>
      <c r="F23" s="172">
        <f t="shared" si="8"/>
        <v>3.53878</v>
      </c>
      <c r="G23" s="172">
        <f t="shared" si="8"/>
        <v>3.53878</v>
      </c>
      <c r="H23" s="172">
        <f t="shared" si="8"/>
        <v>3.53878</v>
      </c>
      <c r="I23" s="172">
        <f t="shared" si="8"/>
        <v>3.53878</v>
      </c>
    </row>
    <row r="24" spans="1:9" ht="25.5">
      <c r="A24" s="170" t="s">
        <v>88</v>
      </c>
      <c r="B24" s="173">
        <v>0.002</v>
      </c>
      <c r="C24" s="174">
        <f aca="true" t="shared" si="9" ref="C24:I24">C6*$B$24</f>
        <v>3.53878</v>
      </c>
      <c r="D24" s="174">
        <f t="shared" si="9"/>
        <v>3.53878</v>
      </c>
      <c r="E24" s="174">
        <f t="shared" si="9"/>
        <v>3.53878</v>
      </c>
      <c r="F24" s="174">
        <f t="shared" si="9"/>
        <v>3.53878</v>
      </c>
      <c r="G24" s="174">
        <f t="shared" si="9"/>
        <v>3.53878</v>
      </c>
      <c r="H24" s="174">
        <f t="shared" si="9"/>
        <v>3.53878</v>
      </c>
      <c r="I24" s="174">
        <f t="shared" si="9"/>
        <v>3.53878</v>
      </c>
    </row>
    <row r="26" spans="1:9" ht="12.75">
      <c r="A26" s="62" t="s">
        <v>89</v>
      </c>
      <c r="C26" s="175">
        <f aca="true" t="shared" si="10" ref="C26:I26">SUM(C27:C28)</f>
        <v>0</v>
      </c>
      <c r="D26" s="175">
        <f t="shared" si="10"/>
        <v>309.6935178571428</v>
      </c>
      <c r="E26" s="175">
        <f t="shared" si="10"/>
        <v>292.50483928571424</v>
      </c>
      <c r="F26" s="175">
        <f t="shared" si="10"/>
        <v>275.3161607142857</v>
      </c>
      <c r="G26" s="175">
        <f t="shared" si="10"/>
        <v>258.12748214285705</v>
      </c>
      <c r="H26" s="175">
        <f t="shared" si="10"/>
        <v>240.93880357142848</v>
      </c>
      <c r="I26" s="175">
        <f t="shared" si="10"/>
        <v>223.75012499999988</v>
      </c>
    </row>
    <row r="27" spans="1:9" ht="12.75">
      <c r="A27" s="81" t="s">
        <v>2</v>
      </c>
      <c r="B27" s="176">
        <f>Исх!C16</f>
        <v>0.015</v>
      </c>
      <c r="C27" s="157">
        <f aca="true" t="shared" si="11" ref="C27:I27">(C34+C37)/2*$B$27/12</f>
        <v>0</v>
      </c>
      <c r="D27" s="157">
        <f t="shared" si="11"/>
        <v>309.6935178571428</v>
      </c>
      <c r="E27" s="157">
        <f t="shared" si="11"/>
        <v>292.50483928571424</v>
      </c>
      <c r="F27" s="157">
        <f t="shared" si="11"/>
        <v>275.3161607142857</v>
      </c>
      <c r="G27" s="157">
        <f t="shared" si="11"/>
        <v>258.12748214285705</v>
      </c>
      <c r="H27" s="157">
        <f t="shared" si="11"/>
        <v>240.93880357142848</v>
      </c>
      <c r="I27" s="157">
        <f t="shared" si="11"/>
        <v>223.75012499999988</v>
      </c>
    </row>
    <row r="28" spans="1:9" ht="12.75">
      <c r="A28" s="81" t="s">
        <v>116</v>
      </c>
      <c r="B28" s="81"/>
      <c r="C28" s="148"/>
      <c r="D28" s="157">
        <f aca="true" t="shared" si="12" ref="D28:I28">C28+C28*$D$3</f>
        <v>0</v>
      </c>
      <c r="E28" s="157">
        <f t="shared" si="12"/>
        <v>0</v>
      </c>
      <c r="F28" s="157">
        <f t="shared" si="12"/>
        <v>0</v>
      </c>
      <c r="G28" s="157">
        <f t="shared" si="12"/>
        <v>0</v>
      </c>
      <c r="H28" s="157">
        <f t="shared" si="12"/>
        <v>0</v>
      </c>
      <c r="I28" s="157">
        <f t="shared" si="12"/>
        <v>0</v>
      </c>
    </row>
    <row r="30" ht="12.75">
      <c r="C30" s="177"/>
    </row>
    <row r="31" spans="1:9" ht="12.75">
      <c r="A31" s="286" t="s">
        <v>90</v>
      </c>
      <c r="B31" s="286"/>
      <c r="C31" s="286"/>
      <c r="D31" s="286"/>
      <c r="E31" s="286"/>
      <c r="F31" s="287"/>
      <c r="G31" s="181"/>
      <c r="H31" s="181"/>
      <c r="I31" s="181"/>
    </row>
    <row r="32" spans="1:9" ht="12.75">
      <c r="A32" s="79" t="s">
        <v>96</v>
      </c>
      <c r="C32" s="145">
        <v>1</v>
      </c>
      <c r="D32" s="145">
        <f aca="true" t="shared" si="13" ref="D32:I32">C32+1</f>
        <v>2</v>
      </c>
      <c r="E32" s="145">
        <f t="shared" si="13"/>
        <v>3</v>
      </c>
      <c r="F32" s="145">
        <f t="shared" si="13"/>
        <v>4</v>
      </c>
      <c r="G32" s="182">
        <f t="shared" si="13"/>
        <v>5</v>
      </c>
      <c r="H32" s="182">
        <f t="shared" si="13"/>
        <v>6</v>
      </c>
      <c r="I32" s="182">
        <f t="shared" si="13"/>
        <v>7</v>
      </c>
    </row>
    <row r="33" spans="1:9" ht="12.75">
      <c r="A33" s="81" t="s">
        <v>91</v>
      </c>
      <c r="B33" s="178"/>
      <c r="C33" s="81"/>
      <c r="D33" s="81"/>
      <c r="E33" s="81"/>
      <c r="F33" s="81"/>
      <c r="G33" s="81"/>
      <c r="H33" s="81"/>
      <c r="I33" s="81"/>
    </row>
    <row r="34" spans="1:9" ht="12.75">
      <c r="A34" s="81" t="s">
        <v>92</v>
      </c>
      <c r="B34" s="179"/>
      <c r="C34" s="157">
        <f aca="true" t="shared" si="14" ref="C34:I36">C40+C46</f>
        <v>0</v>
      </c>
      <c r="D34" s="157">
        <f t="shared" si="14"/>
        <v>254630.28571428565</v>
      </c>
      <c r="E34" s="157">
        <f t="shared" si="14"/>
        <v>240879.34285714282</v>
      </c>
      <c r="F34" s="157">
        <f t="shared" si="14"/>
        <v>227128.39999999994</v>
      </c>
      <c r="G34" s="157">
        <f t="shared" si="14"/>
        <v>213377.45714285708</v>
      </c>
      <c r="H34" s="157">
        <f t="shared" si="14"/>
        <v>199626.51428571422</v>
      </c>
      <c r="I34" s="157">
        <f t="shared" si="14"/>
        <v>185875.57142857133</v>
      </c>
    </row>
    <row r="35" spans="1:9" ht="12.75">
      <c r="A35" s="81" t="s">
        <v>93</v>
      </c>
      <c r="B35" s="179"/>
      <c r="C35" s="157">
        <f t="shared" si="14"/>
        <v>0</v>
      </c>
      <c r="D35" s="157">
        <f t="shared" si="14"/>
        <v>0</v>
      </c>
      <c r="E35" s="157">
        <f t="shared" si="14"/>
        <v>0</v>
      </c>
      <c r="F35" s="157">
        <f t="shared" si="14"/>
        <v>0</v>
      </c>
      <c r="G35" s="157">
        <f t="shared" si="14"/>
        <v>0</v>
      </c>
      <c r="H35" s="157">
        <f t="shared" si="14"/>
        <v>0</v>
      </c>
      <c r="I35" s="157">
        <f t="shared" si="14"/>
        <v>0</v>
      </c>
    </row>
    <row r="36" spans="1:9" ht="12.75">
      <c r="A36" s="159" t="s">
        <v>94</v>
      </c>
      <c r="B36" s="159"/>
      <c r="C36" s="158">
        <f t="shared" si="14"/>
        <v>0</v>
      </c>
      <c r="D36" s="158">
        <f t="shared" si="14"/>
        <v>13750.942857142856</v>
      </c>
      <c r="E36" s="158">
        <f t="shared" si="14"/>
        <v>13750.942857142856</v>
      </c>
      <c r="F36" s="158">
        <f t="shared" si="14"/>
        <v>13750.942857142856</v>
      </c>
      <c r="G36" s="158">
        <f t="shared" si="14"/>
        <v>13750.942857142856</v>
      </c>
      <c r="H36" s="158">
        <f t="shared" si="14"/>
        <v>13750.942857142856</v>
      </c>
      <c r="I36" s="158">
        <f t="shared" si="14"/>
        <v>13750.942857142856</v>
      </c>
    </row>
    <row r="37" spans="1:9" ht="12.75">
      <c r="A37" s="81" t="s">
        <v>95</v>
      </c>
      <c r="B37" s="179"/>
      <c r="C37" s="157">
        <f aca="true" t="shared" si="15" ref="C37:I37">C34+C35-C36</f>
        <v>0</v>
      </c>
      <c r="D37" s="157">
        <f t="shared" si="15"/>
        <v>240879.3428571428</v>
      </c>
      <c r="E37" s="157">
        <f t="shared" si="15"/>
        <v>227128.39999999997</v>
      </c>
      <c r="F37" s="157">
        <f t="shared" si="15"/>
        <v>213377.45714285708</v>
      </c>
      <c r="G37" s="157">
        <f t="shared" si="15"/>
        <v>199626.51428571422</v>
      </c>
      <c r="H37" s="157">
        <f t="shared" si="15"/>
        <v>185875.57142857136</v>
      </c>
      <c r="I37" s="157">
        <f t="shared" si="15"/>
        <v>172124.62857142847</v>
      </c>
    </row>
    <row r="38" spans="1:9" ht="12.75" hidden="1" outlineLevel="1">
      <c r="A38" s="79" t="s">
        <v>130</v>
      </c>
      <c r="C38" s="145"/>
      <c r="D38" s="145"/>
      <c r="E38" s="145"/>
      <c r="F38" s="145"/>
      <c r="G38" s="145"/>
      <c r="H38" s="145"/>
      <c r="I38" s="145"/>
    </row>
    <row r="39" spans="1:9" ht="12.75" hidden="1" outlineLevel="1">
      <c r="A39" s="81" t="s">
        <v>91</v>
      </c>
      <c r="B39" s="180">
        <v>0.05</v>
      </c>
      <c r="C39" s="81"/>
      <c r="D39" s="81"/>
      <c r="E39" s="81"/>
      <c r="F39" s="81"/>
      <c r="G39" s="81"/>
      <c r="H39" s="81"/>
      <c r="I39" s="81"/>
    </row>
    <row r="40" spans="1:9" ht="12.75" hidden="1" outlineLevel="1">
      <c r="A40" s="81" t="s">
        <v>92</v>
      </c>
      <c r="B40" s="179"/>
      <c r="C40" s="149"/>
      <c r="D40" s="157">
        <f>Инв!C41</f>
        <v>234241.71428571423</v>
      </c>
      <c r="E40" s="157">
        <f>D43</f>
        <v>222529.62857142853</v>
      </c>
      <c r="F40" s="157">
        <f>E43</f>
        <v>210817.5428571428</v>
      </c>
      <c r="G40" s="157">
        <f>F43</f>
        <v>199105.45714285708</v>
      </c>
      <c r="H40" s="157">
        <f>G43</f>
        <v>187393.37142857135</v>
      </c>
      <c r="I40" s="157">
        <f>H43</f>
        <v>175681.28571428562</v>
      </c>
    </row>
    <row r="41" spans="1:9" ht="12.75" hidden="1" outlineLevel="1">
      <c r="A41" s="81" t="s">
        <v>93</v>
      </c>
      <c r="B41" s="179"/>
      <c r="C41" s="157"/>
      <c r="D41" s="157"/>
      <c r="E41" s="157"/>
      <c r="F41" s="157"/>
      <c r="G41" s="157"/>
      <c r="H41" s="157"/>
      <c r="I41" s="157"/>
    </row>
    <row r="42" spans="1:9" ht="12.75" hidden="1" outlineLevel="1">
      <c r="A42" s="159" t="s">
        <v>94</v>
      </c>
      <c r="B42" s="159"/>
      <c r="C42" s="158">
        <f>$C40*$B39</f>
        <v>0</v>
      </c>
      <c r="D42" s="158">
        <f aca="true" t="shared" si="16" ref="D42:I42">$D40*$B39</f>
        <v>11712.085714285713</v>
      </c>
      <c r="E42" s="158">
        <f t="shared" si="16"/>
        <v>11712.085714285713</v>
      </c>
      <c r="F42" s="158">
        <f t="shared" si="16"/>
        <v>11712.085714285713</v>
      </c>
      <c r="G42" s="158">
        <f t="shared" si="16"/>
        <v>11712.085714285713</v>
      </c>
      <c r="H42" s="158">
        <f t="shared" si="16"/>
        <v>11712.085714285713</v>
      </c>
      <c r="I42" s="158">
        <f t="shared" si="16"/>
        <v>11712.085714285713</v>
      </c>
    </row>
    <row r="43" spans="1:9" ht="12.75" hidden="1" outlineLevel="1">
      <c r="A43" s="81" t="s">
        <v>95</v>
      </c>
      <c r="B43" s="179"/>
      <c r="C43" s="157">
        <f aca="true" t="shared" si="17" ref="C43:I43">C40+C41-C42</f>
        <v>0</v>
      </c>
      <c r="D43" s="157">
        <f t="shared" si="17"/>
        <v>222529.62857142853</v>
      </c>
      <c r="E43" s="157">
        <f t="shared" si="17"/>
        <v>210817.5428571428</v>
      </c>
      <c r="F43" s="157">
        <f t="shared" si="17"/>
        <v>199105.45714285708</v>
      </c>
      <c r="G43" s="157">
        <f t="shared" si="17"/>
        <v>187393.37142857135</v>
      </c>
      <c r="H43" s="157">
        <f t="shared" si="17"/>
        <v>175681.28571428562</v>
      </c>
      <c r="I43" s="157">
        <f t="shared" si="17"/>
        <v>163969.1999999999</v>
      </c>
    </row>
    <row r="44" spans="1:9" ht="12.75" hidden="1" outlineLevel="1">
      <c r="A44" s="79" t="s">
        <v>122</v>
      </c>
      <c r="C44" s="145"/>
      <c r="D44" s="145"/>
      <c r="E44" s="145"/>
      <c r="F44" s="145"/>
      <c r="G44" s="145"/>
      <c r="H44" s="145"/>
      <c r="I44" s="145"/>
    </row>
    <row r="45" spans="1:9" ht="12.75" hidden="1" outlineLevel="1">
      <c r="A45" s="81" t="s">
        <v>91</v>
      </c>
      <c r="B45" s="180">
        <v>0.1</v>
      </c>
      <c r="C45" s="81"/>
      <c r="D45" s="81"/>
      <c r="E45" s="81"/>
      <c r="F45" s="81"/>
      <c r="G45" s="81"/>
      <c r="H45" s="81"/>
      <c r="I45" s="81"/>
    </row>
    <row r="46" spans="1:9" ht="12.75" hidden="1" outlineLevel="1">
      <c r="A46" s="81" t="s">
        <v>92</v>
      </c>
      <c r="B46" s="179"/>
      <c r="C46" s="157"/>
      <c r="D46" s="157">
        <f>Инв!C42</f>
        <v>20388.571428571428</v>
      </c>
      <c r="E46" s="157">
        <f>D49</f>
        <v>18349.714285714286</v>
      </c>
      <c r="F46" s="157">
        <f>E49</f>
        <v>16310.857142857143</v>
      </c>
      <c r="G46" s="157">
        <f>F49</f>
        <v>14272</v>
      </c>
      <c r="H46" s="157">
        <f>G49</f>
        <v>12233.142857142857</v>
      </c>
      <c r="I46" s="157">
        <f>H49</f>
        <v>10194.285714285714</v>
      </c>
    </row>
    <row r="47" spans="1:9" ht="12.75" hidden="1" outlineLevel="1">
      <c r="A47" s="81" t="s">
        <v>93</v>
      </c>
      <c r="B47" s="179"/>
      <c r="C47" s="157"/>
      <c r="D47" s="157"/>
      <c r="E47" s="157"/>
      <c r="F47" s="157"/>
      <c r="G47" s="157"/>
      <c r="H47" s="157"/>
      <c r="I47" s="157"/>
    </row>
    <row r="48" spans="1:9" ht="12.75" hidden="1" outlineLevel="1">
      <c r="A48" s="159" t="s">
        <v>94</v>
      </c>
      <c r="B48" s="159"/>
      <c r="C48" s="158">
        <f>$C46*$B45</f>
        <v>0</v>
      </c>
      <c r="D48" s="158">
        <f aca="true" t="shared" si="18" ref="D48:I48">$D46*$B45</f>
        <v>2038.857142857143</v>
      </c>
      <c r="E48" s="158">
        <f t="shared" si="18"/>
        <v>2038.857142857143</v>
      </c>
      <c r="F48" s="158">
        <f t="shared" si="18"/>
        <v>2038.857142857143</v>
      </c>
      <c r="G48" s="158">
        <f t="shared" si="18"/>
        <v>2038.857142857143</v>
      </c>
      <c r="H48" s="158">
        <f t="shared" si="18"/>
        <v>2038.857142857143</v>
      </c>
      <c r="I48" s="158">
        <f t="shared" si="18"/>
        <v>2038.857142857143</v>
      </c>
    </row>
    <row r="49" spans="1:9" ht="12.75" hidden="1" outlineLevel="1">
      <c r="A49" s="81" t="s">
        <v>95</v>
      </c>
      <c r="B49" s="179"/>
      <c r="C49" s="157">
        <f aca="true" t="shared" si="19" ref="C49:I49">C46+C47-C48</f>
        <v>0</v>
      </c>
      <c r="D49" s="157">
        <f t="shared" si="19"/>
        <v>18349.714285714286</v>
      </c>
      <c r="E49" s="157">
        <f t="shared" si="19"/>
        <v>16310.857142857143</v>
      </c>
      <c r="F49" s="157">
        <f t="shared" si="19"/>
        <v>14272</v>
      </c>
      <c r="G49" s="157">
        <f t="shared" si="19"/>
        <v>12233.142857142857</v>
      </c>
      <c r="H49" s="157">
        <f t="shared" si="19"/>
        <v>10194.285714285714</v>
      </c>
      <c r="I49" s="157">
        <f t="shared" si="19"/>
        <v>8155.428571428571</v>
      </c>
    </row>
    <row r="50" ht="12.75" collapsed="1"/>
  </sheetData>
  <sheetProtection/>
  <mergeCells count="1">
    <mergeCell ref="A31:F31"/>
  </mergeCells>
  <printOptions/>
  <pageMargins left="0.38" right="0.55" top="0.3" bottom="0.67" header="0.2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CP17"/>
  <sheetViews>
    <sheetView showGridLines="0" zoomScalePageLayoutView="0" workbookViewId="0" topLeftCell="A1">
      <pane xSplit="2" ySplit="6" topLeftCell="C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4" sqref="A4:CO12"/>
    </sheetView>
  </sheetViews>
  <sheetFormatPr defaultColWidth="9.00390625" defaultRowHeight="12.75" outlineLevelCol="1"/>
  <cols>
    <col min="1" max="1" width="23.25390625" style="183" customWidth="1"/>
    <col min="2" max="2" width="12.125" style="183" customWidth="1"/>
    <col min="3" max="14" width="9.125" style="183" hidden="1" customWidth="1" outlineLevel="1"/>
    <col min="15" max="15" width="10.125" style="184" bestFit="1" customWidth="1" collapsed="1"/>
    <col min="16" max="27" width="9.125" style="183" hidden="1" customWidth="1" outlineLevel="1"/>
    <col min="28" max="28" width="10.125" style="184" bestFit="1" customWidth="1" collapsed="1"/>
    <col min="29" max="40" width="9.125" style="183" hidden="1" customWidth="1" outlineLevel="1"/>
    <col min="41" max="41" width="10.125" style="184" bestFit="1" customWidth="1" collapsed="1"/>
    <col min="42" max="47" width="9.125" style="183" hidden="1" customWidth="1" outlineLevel="1"/>
    <col min="48" max="48" width="9.25390625" style="183" hidden="1" customWidth="1" outlineLevel="1"/>
    <col min="49" max="53" width="8.75390625" style="183" hidden="1" customWidth="1" outlineLevel="1"/>
    <col min="54" max="54" width="10.125" style="184" bestFit="1" customWidth="1" collapsed="1"/>
    <col min="55" max="66" width="8.75390625" style="183" hidden="1" customWidth="1" outlineLevel="1"/>
    <col min="67" max="67" width="10.125" style="184" bestFit="1" customWidth="1" collapsed="1"/>
    <col min="68" max="79" width="8.75390625" style="183" hidden="1" customWidth="1" outlineLevel="1"/>
    <col min="80" max="80" width="10.125" style="184" bestFit="1" customWidth="1" collapsed="1"/>
    <col min="81" max="92" width="8.75390625" style="183" hidden="1" customWidth="1" outlineLevel="1"/>
    <col min="93" max="93" width="10.125" style="184" bestFit="1" customWidth="1" collapsed="1"/>
    <col min="94" max="16384" width="9.125" style="183" customWidth="1"/>
  </cols>
  <sheetData>
    <row r="1" ht="9.75" customHeight="1"/>
    <row r="2" spans="1:15" ht="18.75" customHeight="1">
      <c r="A2" s="184" t="s">
        <v>111</v>
      </c>
      <c r="B2" s="185"/>
      <c r="D2" s="186"/>
      <c r="E2" s="186"/>
      <c r="F2" s="187"/>
      <c r="G2" s="186"/>
      <c r="O2" s="188"/>
    </row>
    <row r="3" spans="1:15" ht="13.5" customHeight="1">
      <c r="A3" s="189"/>
      <c r="B3" s="185"/>
      <c r="D3" s="186"/>
      <c r="E3" s="186"/>
      <c r="F3" s="187"/>
      <c r="G3" s="186"/>
      <c r="O3" s="188"/>
    </row>
    <row r="4" spans="1:2" ht="12.75">
      <c r="A4" s="190"/>
      <c r="B4" s="191"/>
    </row>
    <row r="5" spans="1:93" ht="15.75" customHeight="1">
      <c r="A5" s="192" t="s">
        <v>12</v>
      </c>
      <c r="B5" s="193">
        <f>Исх!C31</f>
        <v>0.12</v>
      </c>
      <c r="C5" s="288">
        <v>2012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>
        <v>2013</v>
      </c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>
        <v>2014</v>
      </c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>
        <v>2015</v>
      </c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>
        <v>2016</v>
      </c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>
        <v>2017</v>
      </c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>
        <v>2018</v>
      </c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</row>
    <row r="6" spans="1:93" s="198" customFormat="1" ht="15" customHeight="1">
      <c r="A6" s="194" t="s">
        <v>10</v>
      </c>
      <c r="B6" s="195" t="s">
        <v>13</v>
      </c>
      <c r="C6" s="196">
        <v>1</v>
      </c>
      <c r="D6" s="196">
        <v>2</v>
      </c>
      <c r="E6" s="196">
        <f>D6+1</f>
        <v>3</v>
      </c>
      <c r="F6" s="196">
        <f aca="true" t="shared" si="0" ref="F6:N6">E6+1</f>
        <v>4</v>
      </c>
      <c r="G6" s="196">
        <f t="shared" si="0"/>
        <v>5</v>
      </c>
      <c r="H6" s="196">
        <f t="shared" si="0"/>
        <v>6</v>
      </c>
      <c r="I6" s="196">
        <f t="shared" si="0"/>
        <v>7</v>
      </c>
      <c r="J6" s="196">
        <f t="shared" si="0"/>
        <v>8</v>
      </c>
      <c r="K6" s="196">
        <f t="shared" si="0"/>
        <v>9</v>
      </c>
      <c r="L6" s="196">
        <f t="shared" si="0"/>
        <v>10</v>
      </c>
      <c r="M6" s="196">
        <f t="shared" si="0"/>
        <v>11</v>
      </c>
      <c r="N6" s="196">
        <f t="shared" si="0"/>
        <v>12</v>
      </c>
      <c r="O6" s="197" t="s">
        <v>1</v>
      </c>
      <c r="P6" s="196">
        <v>1</v>
      </c>
      <c r="Q6" s="196">
        <v>2</v>
      </c>
      <c r="R6" s="196">
        <f>Q6+1</f>
        <v>3</v>
      </c>
      <c r="S6" s="196">
        <f aca="true" t="shared" si="1" ref="S6:AA6">R6+1</f>
        <v>4</v>
      </c>
      <c r="T6" s="196">
        <f t="shared" si="1"/>
        <v>5</v>
      </c>
      <c r="U6" s="196">
        <f t="shared" si="1"/>
        <v>6</v>
      </c>
      <c r="V6" s="196">
        <f t="shared" si="1"/>
        <v>7</v>
      </c>
      <c r="W6" s="196">
        <f t="shared" si="1"/>
        <v>8</v>
      </c>
      <c r="X6" s="196">
        <f t="shared" si="1"/>
        <v>9</v>
      </c>
      <c r="Y6" s="196">
        <f t="shared" si="1"/>
        <v>10</v>
      </c>
      <c r="Z6" s="196">
        <f t="shared" si="1"/>
        <v>11</v>
      </c>
      <c r="AA6" s="196">
        <f t="shared" si="1"/>
        <v>12</v>
      </c>
      <c r="AB6" s="197" t="s">
        <v>1</v>
      </c>
      <c r="AC6" s="196">
        <v>1</v>
      </c>
      <c r="AD6" s="196">
        <v>2</v>
      </c>
      <c r="AE6" s="196">
        <f aca="true" t="shared" si="2" ref="AE6:BN6">AD6+1</f>
        <v>3</v>
      </c>
      <c r="AF6" s="196">
        <f t="shared" si="2"/>
        <v>4</v>
      </c>
      <c r="AG6" s="196">
        <f t="shared" si="2"/>
        <v>5</v>
      </c>
      <c r="AH6" s="196">
        <f t="shared" si="2"/>
        <v>6</v>
      </c>
      <c r="AI6" s="196">
        <f t="shared" si="2"/>
        <v>7</v>
      </c>
      <c r="AJ6" s="196">
        <f t="shared" si="2"/>
        <v>8</v>
      </c>
      <c r="AK6" s="196">
        <f t="shared" si="2"/>
        <v>9</v>
      </c>
      <c r="AL6" s="196">
        <f t="shared" si="2"/>
        <v>10</v>
      </c>
      <c r="AM6" s="196">
        <f t="shared" si="2"/>
        <v>11</v>
      </c>
      <c r="AN6" s="196">
        <f t="shared" si="2"/>
        <v>12</v>
      </c>
      <c r="AO6" s="197" t="s">
        <v>1</v>
      </c>
      <c r="AP6" s="196">
        <v>1</v>
      </c>
      <c r="AQ6" s="196">
        <v>2</v>
      </c>
      <c r="AR6" s="196">
        <f>AQ6+1</f>
        <v>3</v>
      </c>
      <c r="AS6" s="196">
        <f t="shared" si="2"/>
        <v>4</v>
      </c>
      <c r="AT6" s="196">
        <f t="shared" si="2"/>
        <v>5</v>
      </c>
      <c r="AU6" s="196">
        <f t="shared" si="2"/>
        <v>6</v>
      </c>
      <c r="AV6" s="196">
        <f t="shared" si="2"/>
        <v>7</v>
      </c>
      <c r="AW6" s="196">
        <f t="shared" si="2"/>
        <v>8</v>
      </c>
      <c r="AX6" s="196">
        <f t="shared" si="2"/>
        <v>9</v>
      </c>
      <c r="AY6" s="196">
        <f t="shared" si="2"/>
        <v>10</v>
      </c>
      <c r="AZ6" s="196">
        <f t="shared" si="2"/>
        <v>11</v>
      </c>
      <c r="BA6" s="196">
        <f t="shared" si="2"/>
        <v>12</v>
      </c>
      <c r="BB6" s="197" t="s">
        <v>1</v>
      </c>
      <c r="BC6" s="196">
        <v>1</v>
      </c>
      <c r="BD6" s="196">
        <v>2</v>
      </c>
      <c r="BE6" s="196">
        <f>BD6+1</f>
        <v>3</v>
      </c>
      <c r="BF6" s="196">
        <f t="shared" si="2"/>
        <v>4</v>
      </c>
      <c r="BG6" s="196">
        <f t="shared" si="2"/>
        <v>5</v>
      </c>
      <c r="BH6" s="196">
        <f t="shared" si="2"/>
        <v>6</v>
      </c>
      <c r="BI6" s="196">
        <f t="shared" si="2"/>
        <v>7</v>
      </c>
      <c r="BJ6" s="196">
        <f t="shared" si="2"/>
        <v>8</v>
      </c>
      <c r="BK6" s="196">
        <f t="shared" si="2"/>
        <v>9</v>
      </c>
      <c r="BL6" s="196">
        <f t="shared" si="2"/>
        <v>10</v>
      </c>
      <c r="BM6" s="196">
        <f t="shared" si="2"/>
        <v>11</v>
      </c>
      <c r="BN6" s="196">
        <f t="shared" si="2"/>
        <v>12</v>
      </c>
      <c r="BO6" s="197" t="s">
        <v>1</v>
      </c>
      <c r="BP6" s="196">
        <v>1</v>
      </c>
      <c r="BQ6" s="196">
        <v>2</v>
      </c>
      <c r="BR6" s="196">
        <f aca="true" t="shared" si="3" ref="BR6:CA6">BQ6+1</f>
        <v>3</v>
      </c>
      <c r="BS6" s="196">
        <f t="shared" si="3"/>
        <v>4</v>
      </c>
      <c r="BT6" s="196">
        <f t="shared" si="3"/>
        <v>5</v>
      </c>
      <c r="BU6" s="196">
        <f t="shared" si="3"/>
        <v>6</v>
      </c>
      <c r="BV6" s="196">
        <f t="shared" si="3"/>
        <v>7</v>
      </c>
      <c r="BW6" s="196">
        <f t="shared" si="3"/>
        <v>8</v>
      </c>
      <c r="BX6" s="196">
        <f t="shared" si="3"/>
        <v>9</v>
      </c>
      <c r="BY6" s="196">
        <f t="shared" si="3"/>
        <v>10</v>
      </c>
      <c r="BZ6" s="196">
        <f t="shared" si="3"/>
        <v>11</v>
      </c>
      <c r="CA6" s="196">
        <f t="shared" si="3"/>
        <v>12</v>
      </c>
      <c r="CB6" s="197" t="s">
        <v>1</v>
      </c>
      <c r="CC6" s="196">
        <v>1</v>
      </c>
      <c r="CD6" s="196">
        <v>2</v>
      </c>
      <c r="CE6" s="196">
        <f aca="true" t="shared" si="4" ref="CE6:CN6">CD6+1</f>
        <v>3</v>
      </c>
      <c r="CF6" s="196">
        <f t="shared" si="4"/>
        <v>4</v>
      </c>
      <c r="CG6" s="196">
        <f t="shared" si="4"/>
        <v>5</v>
      </c>
      <c r="CH6" s="196">
        <f t="shared" si="4"/>
        <v>6</v>
      </c>
      <c r="CI6" s="196">
        <f t="shared" si="4"/>
        <v>7</v>
      </c>
      <c r="CJ6" s="196">
        <f t="shared" si="4"/>
        <v>8</v>
      </c>
      <c r="CK6" s="196">
        <f t="shared" si="4"/>
        <v>9</v>
      </c>
      <c r="CL6" s="196">
        <f t="shared" si="4"/>
        <v>10</v>
      </c>
      <c r="CM6" s="196">
        <f t="shared" si="4"/>
        <v>11</v>
      </c>
      <c r="CN6" s="196">
        <f t="shared" si="4"/>
        <v>12</v>
      </c>
      <c r="CO6" s="197" t="s">
        <v>1</v>
      </c>
    </row>
    <row r="7" spans="1:94" ht="12.75">
      <c r="A7" s="194" t="s">
        <v>123</v>
      </c>
      <c r="B7" s="199">
        <f>O7+AB7+AO7+BB7+BO7+CB7+CO7</f>
        <v>207796.8106666667</v>
      </c>
      <c r="C7" s="200">
        <f>'1-Ф3'!D29</f>
        <v>0</v>
      </c>
      <c r="D7" s="200">
        <f>'1-Ф3'!E29</f>
        <v>0</v>
      </c>
      <c r="E7" s="200">
        <f>'1-Ф3'!F29</f>
        <v>0</v>
      </c>
      <c r="F7" s="200">
        <f>'1-Ф3'!G29</f>
        <v>0</v>
      </c>
      <c r="G7" s="200">
        <f>'1-Ф3'!H29</f>
        <v>22672.284444444445</v>
      </c>
      <c r="H7" s="200">
        <f>'1-Ф3'!I29</f>
        <v>22672.284444444445</v>
      </c>
      <c r="I7" s="200">
        <f>'1-Ф3'!J29</f>
        <v>22672.284444444445</v>
      </c>
      <c r="J7" s="200">
        <f>'1-Ф3'!K29</f>
        <v>22672.284444444445</v>
      </c>
      <c r="K7" s="200">
        <f>'1-Ф3'!L29</f>
        <v>22672.284444444445</v>
      </c>
      <c r="L7" s="200">
        <f>'1-Ф3'!M29</f>
        <v>46478.18311111111</v>
      </c>
      <c r="M7" s="200">
        <f>'1-Ф3'!N29</f>
        <v>31798.218666666668</v>
      </c>
      <c r="N7" s="200">
        <f>'1-Ф3'!O29</f>
        <v>16158.986666666668</v>
      </c>
      <c r="O7" s="201">
        <f>SUM(C7:N7)</f>
        <v>207796.8106666667</v>
      </c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2"/>
    </row>
    <row r="8" spans="1:93" s="203" customFormat="1" ht="20.25" customHeight="1">
      <c r="A8" s="194" t="s">
        <v>34</v>
      </c>
      <c r="B8" s="199">
        <f>O8+AB8+AO8+BB8+BO8+CB8+CO8</f>
        <v>8993.585066666667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1">
        <f>SUM(C8:N8)</f>
        <v>0</v>
      </c>
      <c r="P8" s="200">
        <f>SUM(O9:P9)</f>
        <v>8993.585066666667</v>
      </c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1">
        <f>SUM(P8:AA8)</f>
        <v>8993.585066666667</v>
      </c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1">
        <f>SUM(AC8:AN8)</f>
        <v>0</v>
      </c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1">
        <f>SUM(AP8:BA8)</f>
        <v>0</v>
      </c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1">
        <f>SUM(BC8:BN8)</f>
        <v>0</v>
      </c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1">
        <f>SUM(BP8:CA8)</f>
        <v>0</v>
      </c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1">
        <f>SUM(CC8:CN8)</f>
        <v>0</v>
      </c>
    </row>
    <row r="9" spans="1:93" s="203" customFormat="1" ht="12.75">
      <c r="A9" s="204" t="s">
        <v>14</v>
      </c>
      <c r="B9" s="199">
        <f>O9+AB9+AO9+BB9+BO9+CB9+CO9</f>
        <v>84870.22357333344</v>
      </c>
      <c r="C9" s="200"/>
      <c r="D9" s="200">
        <f>C12*$B$5/12</f>
        <v>0</v>
      </c>
      <c r="E9" s="200">
        <f>D12*$B$5/12</f>
        <v>0</v>
      </c>
      <c r="F9" s="200">
        <f>E12*$B$5/12</f>
        <v>0</v>
      </c>
      <c r="G9" s="200">
        <f>F12*$B$5/12</f>
        <v>0</v>
      </c>
      <c r="H9" s="200">
        <f>G12*$B$5/12</f>
        <v>226.72284444444446</v>
      </c>
      <c r="I9" s="200">
        <f aca="true" t="shared" si="5" ref="I9:AA9">H12*$B$5/12</f>
        <v>453.4456888888889</v>
      </c>
      <c r="J9" s="200">
        <f t="shared" si="5"/>
        <v>680.1685333333334</v>
      </c>
      <c r="K9" s="200">
        <f t="shared" si="5"/>
        <v>906.8913777777778</v>
      </c>
      <c r="L9" s="200">
        <f>K12*$B$5/12</f>
        <v>1133.6142222222222</v>
      </c>
      <c r="M9" s="200">
        <f t="shared" si="5"/>
        <v>1598.3960533333332</v>
      </c>
      <c r="N9" s="200">
        <f t="shared" si="5"/>
        <v>1916.37824</v>
      </c>
      <c r="O9" s="201">
        <f>SUM(C9:N9)</f>
        <v>6915.616959999999</v>
      </c>
      <c r="P9" s="200">
        <f t="shared" si="5"/>
        <v>2077.9681066666667</v>
      </c>
      <c r="Q9" s="200">
        <f t="shared" si="5"/>
        <v>2167.9039573333334</v>
      </c>
      <c r="R9" s="200">
        <f t="shared" si="5"/>
        <v>2136.4850594009663</v>
      </c>
      <c r="S9" s="200">
        <f t="shared" si="5"/>
        <v>2105.066161468599</v>
      </c>
      <c r="T9" s="200">
        <f t="shared" si="5"/>
        <v>2073.647263536232</v>
      </c>
      <c r="U9" s="200">
        <f t="shared" si="5"/>
        <v>2042.2283656038653</v>
      </c>
      <c r="V9" s="200">
        <f t="shared" si="5"/>
        <v>2010.8094676714982</v>
      </c>
      <c r="W9" s="200">
        <f t="shared" si="5"/>
        <v>1979.390569739131</v>
      </c>
      <c r="X9" s="200">
        <f t="shared" si="5"/>
        <v>1947.9716718067639</v>
      </c>
      <c r="Y9" s="200">
        <f t="shared" si="5"/>
        <v>1916.5527738743967</v>
      </c>
      <c r="Z9" s="200">
        <f t="shared" si="5"/>
        <v>1885.1338759420296</v>
      </c>
      <c r="AA9" s="200">
        <f t="shared" si="5"/>
        <v>1853.7149780096624</v>
      </c>
      <c r="AB9" s="201">
        <f>SUM(P9:AA9)</f>
        <v>24196.872251053144</v>
      </c>
      <c r="AC9" s="200">
        <f aca="true" t="shared" si="6" ref="AC9:AN9">AB12*$B$5/12</f>
        <v>1822.2960800772953</v>
      </c>
      <c r="AD9" s="200">
        <f t="shared" si="6"/>
        <v>1790.8771821449284</v>
      </c>
      <c r="AE9" s="200">
        <f t="shared" si="6"/>
        <v>1759.4582842125612</v>
      </c>
      <c r="AF9" s="200">
        <f t="shared" si="6"/>
        <v>1728.039386280194</v>
      </c>
      <c r="AG9" s="200">
        <f t="shared" si="6"/>
        <v>1696.620488347827</v>
      </c>
      <c r="AH9" s="200">
        <f t="shared" si="6"/>
        <v>1665.2015904154598</v>
      </c>
      <c r="AI9" s="200">
        <f t="shared" si="6"/>
        <v>1633.7826924830927</v>
      </c>
      <c r="AJ9" s="200">
        <f t="shared" si="6"/>
        <v>1602.3637945507255</v>
      </c>
      <c r="AK9" s="200">
        <f t="shared" si="6"/>
        <v>1570.9448966183584</v>
      </c>
      <c r="AL9" s="200">
        <f t="shared" si="6"/>
        <v>1539.5259986859912</v>
      </c>
      <c r="AM9" s="200">
        <f t="shared" si="6"/>
        <v>1508.1071007536245</v>
      </c>
      <c r="AN9" s="200">
        <f t="shared" si="6"/>
        <v>1476.6882028212574</v>
      </c>
      <c r="AO9" s="201">
        <f>SUM(AC9:AN9)</f>
        <v>19793.905697391314</v>
      </c>
      <c r="AP9" s="200">
        <f aca="true" t="shared" si="7" ref="AP9:BA9">AO12*$B$5/12</f>
        <v>1445.2693048888902</v>
      </c>
      <c r="AQ9" s="200">
        <f t="shared" si="7"/>
        <v>1413.850406956523</v>
      </c>
      <c r="AR9" s="200">
        <f t="shared" si="7"/>
        <v>1382.431509024156</v>
      </c>
      <c r="AS9" s="200">
        <f t="shared" si="7"/>
        <v>1351.0126110917888</v>
      </c>
      <c r="AT9" s="200">
        <f t="shared" si="7"/>
        <v>1319.5937131594217</v>
      </c>
      <c r="AU9" s="200">
        <f t="shared" si="7"/>
        <v>1288.1748152270545</v>
      </c>
      <c r="AV9" s="200">
        <f t="shared" si="7"/>
        <v>1256.7559172946874</v>
      </c>
      <c r="AW9" s="200">
        <f t="shared" si="7"/>
        <v>1225.3370193623202</v>
      </c>
      <c r="AX9" s="200">
        <f t="shared" si="7"/>
        <v>1193.9181214299533</v>
      </c>
      <c r="AY9" s="200">
        <f t="shared" si="7"/>
        <v>1162.4992234975862</v>
      </c>
      <c r="AZ9" s="200">
        <f t="shared" si="7"/>
        <v>1131.080325565219</v>
      </c>
      <c r="BA9" s="200">
        <f t="shared" si="7"/>
        <v>1099.6614276328519</v>
      </c>
      <c r="BB9" s="201">
        <f>SUM(AP9:BA9)</f>
        <v>15269.584395130452</v>
      </c>
      <c r="BC9" s="200">
        <f aca="true" t="shared" si="8" ref="BC9:BN9">BB12*$B$5/12</f>
        <v>1068.242529700485</v>
      </c>
      <c r="BD9" s="200">
        <f t="shared" si="8"/>
        <v>1036.8236317681178</v>
      </c>
      <c r="BE9" s="200">
        <f t="shared" si="8"/>
        <v>1005.4047338357506</v>
      </c>
      <c r="BF9" s="200">
        <f t="shared" si="8"/>
        <v>973.9858359033834</v>
      </c>
      <c r="BG9" s="200">
        <f t="shared" si="8"/>
        <v>942.5669379710165</v>
      </c>
      <c r="BH9" s="200">
        <f t="shared" si="8"/>
        <v>911.1480400386494</v>
      </c>
      <c r="BI9" s="200">
        <f t="shared" si="8"/>
        <v>879.7291421062822</v>
      </c>
      <c r="BJ9" s="200">
        <f t="shared" si="8"/>
        <v>848.3102441739151</v>
      </c>
      <c r="BK9" s="200">
        <f t="shared" si="8"/>
        <v>816.891346241548</v>
      </c>
      <c r="BL9" s="200">
        <f t="shared" si="8"/>
        <v>785.4724483091809</v>
      </c>
      <c r="BM9" s="200">
        <f t="shared" si="8"/>
        <v>754.0535503768137</v>
      </c>
      <c r="BN9" s="200">
        <f t="shared" si="8"/>
        <v>722.6346524444466</v>
      </c>
      <c r="BO9" s="201">
        <f>SUM(BC9:BN9)</f>
        <v>10745.263092869589</v>
      </c>
      <c r="BP9" s="200">
        <f aca="true" t="shared" si="9" ref="BP9:CA9">BO12*$B$5/12</f>
        <v>691.2157545120796</v>
      </c>
      <c r="BQ9" s="200">
        <f t="shared" si="9"/>
        <v>659.7968565797124</v>
      </c>
      <c r="BR9" s="200">
        <f t="shared" si="9"/>
        <v>628.3779586473453</v>
      </c>
      <c r="BS9" s="200">
        <f t="shared" si="9"/>
        <v>596.9590607149781</v>
      </c>
      <c r="BT9" s="200">
        <f t="shared" si="9"/>
        <v>565.5401627826109</v>
      </c>
      <c r="BU9" s="200">
        <f t="shared" si="9"/>
        <v>534.1212648502437</v>
      </c>
      <c r="BV9" s="200">
        <f t="shared" si="9"/>
        <v>502.7023669178766</v>
      </c>
      <c r="BW9" s="200">
        <f t="shared" si="9"/>
        <v>471.2834689855094</v>
      </c>
      <c r="BX9" s="200">
        <f t="shared" si="9"/>
        <v>439.86457105314224</v>
      </c>
      <c r="BY9" s="200">
        <f t="shared" si="9"/>
        <v>408.445673120775</v>
      </c>
      <c r="BZ9" s="200">
        <f t="shared" si="9"/>
        <v>377.02677518840784</v>
      </c>
      <c r="CA9" s="200">
        <f t="shared" si="9"/>
        <v>345.60787725604064</v>
      </c>
      <c r="CB9" s="201">
        <f>SUM(BP9:CA9)</f>
        <v>6220.94179060872</v>
      </c>
      <c r="CC9" s="200">
        <f aca="true" t="shared" si="10" ref="CC9:CN9">CB12*$B$5/12</f>
        <v>314.1889793236735</v>
      </c>
      <c r="CD9" s="200">
        <f t="shared" si="10"/>
        <v>282.77008139130635</v>
      </c>
      <c r="CE9" s="200">
        <f t="shared" si="10"/>
        <v>251.3511834589392</v>
      </c>
      <c r="CF9" s="200">
        <f t="shared" si="10"/>
        <v>219.9322855265721</v>
      </c>
      <c r="CG9" s="200">
        <f t="shared" si="10"/>
        <v>188.51338759420494</v>
      </c>
      <c r="CH9" s="200">
        <f t="shared" si="10"/>
        <v>157.0944896618378</v>
      </c>
      <c r="CI9" s="200">
        <f t="shared" si="10"/>
        <v>125.67559172947064</v>
      </c>
      <c r="CJ9" s="200">
        <f t="shared" si="10"/>
        <v>94.2566937971035</v>
      </c>
      <c r="CK9" s="200">
        <f t="shared" si="10"/>
        <v>62.83779586473636</v>
      </c>
      <c r="CL9" s="200">
        <f t="shared" si="10"/>
        <v>31.4188979323692</v>
      </c>
      <c r="CM9" s="200">
        <f t="shared" si="10"/>
        <v>2.0463630789890885E-12</v>
      </c>
      <c r="CN9" s="200">
        <f t="shared" si="10"/>
        <v>2.0463630789890885E-12</v>
      </c>
      <c r="CO9" s="201">
        <f>SUM(CC9:CN9)</f>
        <v>1728.0393862802175</v>
      </c>
    </row>
    <row r="10" spans="1:94" ht="12.75">
      <c r="A10" s="194" t="s">
        <v>15</v>
      </c>
      <c r="B10" s="199">
        <f>O10+AB10+AO10+BB10+BO10+CB10+CO10</f>
        <v>216790.39573333334</v>
      </c>
      <c r="C10" s="200"/>
      <c r="D10" s="200"/>
      <c r="E10" s="200"/>
      <c r="F10" s="200"/>
      <c r="G10" s="205"/>
      <c r="H10" s="205"/>
      <c r="I10" s="205"/>
      <c r="J10" s="205"/>
      <c r="K10" s="205"/>
      <c r="L10" s="205"/>
      <c r="M10" s="205"/>
      <c r="N10" s="205"/>
      <c r="O10" s="201">
        <f>SUM(C10:N10)</f>
        <v>0</v>
      </c>
      <c r="P10" s="205"/>
      <c r="Q10" s="200">
        <f>$P$12/$B$13</f>
        <v>3141.8897932367154</v>
      </c>
      <c r="R10" s="200">
        <f aca="true" t="shared" si="11" ref="R10:CC10">$P$12/$B$13</f>
        <v>3141.8897932367154</v>
      </c>
      <c r="S10" s="200">
        <f t="shared" si="11"/>
        <v>3141.8897932367154</v>
      </c>
      <c r="T10" s="200">
        <f t="shared" si="11"/>
        <v>3141.8897932367154</v>
      </c>
      <c r="U10" s="200">
        <f t="shared" si="11"/>
        <v>3141.8897932367154</v>
      </c>
      <c r="V10" s="200">
        <f t="shared" si="11"/>
        <v>3141.8897932367154</v>
      </c>
      <c r="W10" s="200">
        <f t="shared" si="11"/>
        <v>3141.8897932367154</v>
      </c>
      <c r="X10" s="200">
        <f t="shared" si="11"/>
        <v>3141.8897932367154</v>
      </c>
      <c r="Y10" s="200">
        <f t="shared" si="11"/>
        <v>3141.8897932367154</v>
      </c>
      <c r="Z10" s="200">
        <f t="shared" si="11"/>
        <v>3141.8897932367154</v>
      </c>
      <c r="AA10" s="200">
        <f t="shared" si="11"/>
        <v>3141.8897932367154</v>
      </c>
      <c r="AB10" s="201">
        <f>SUM(P10:AA10)</f>
        <v>34560.78772560386</v>
      </c>
      <c r="AC10" s="200">
        <f t="shared" si="11"/>
        <v>3141.8897932367154</v>
      </c>
      <c r="AD10" s="200">
        <f t="shared" si="11"/>
        <v>3141.8897932367154</v>
      </c>
      <c r="AE10" s="200">
        <f t="shared" si="11"/>
        <v>3141.8897932367154</v>
      </c>
      <c r="AF10" s="200">
        <f t="shared" si="11"/>
        <v>3141.8897932367154</v>
      </c>
      <c r="AG10" s="200">
        <f t="shared" si="11"/>
        <v>3141.8897932367154</v>
      </c>
      <c r="AH10" s="200">
        <f t="shared" si="11"/>
        <v>3141.8897932367154</v>
      </c>
      <c r="AI10" s="200">
        <f t="shared" si="11"/>
        <v>3141.8897932367154</v>
      </c>
      <c r="AJ10" s="200">
        <f t="shared" si="11"/>
        <v>3141.8897932367154</v>
      </c>
      <c r="AK10" s="200">
        <f t="shared" si="11"/>
        <v>3141.8897932367154</v>
      </c>
      <c r="AL10" s="200">
        <f t="shared" si="11"/>
        <v>3141.8897932367154</v>
      </c>
      <c r="AM10" s="200">
        <f t="shared" si="11"/>
        <v>3141.8897932367154</v>
      </c>
      <c r="AN10" s="200">
        <f t="shared" si="11"/>
        <v>3141.8897932367154</v>
      </c>
      <c r="AO10" s="201">
        <f>SUM(AC10:AN10)</f>
        <v>37702.67751884058</v>
      </c>
      <c r="AP10" s="200">
        <f t="shared" si="11"/>
        <v>3141.8897932367154</v>
      </c>
      <c r="AQ10" s="200">
        <f t="shared" si="11"/>
        <v>3141.8897932367154</v>
      </c>
      <c r="AR10" s="200">
        <f t="shared" si="11"/>
        <v>3141.8897932367154</v>
      </c>
      <c r="AS10" s="200">
        <f t="shared" si="11"/>
        <v>3141.8897932367154</v>
      </c>
      <c r="AT10" s="200">
        <f t="shared" si="11"/>
        <v>3141.8897932367154</v>
      </c>
      <c r="AU10" s="200">
        <f t="shared" si="11"/>
        <v>3141.8897932367154</v>
      </c>
      <c r="AV10" s="200">
        <f t="shared" si="11"/>
        <v>3141.8897932367154</v>
      </c>
      <c r="AW10" s="200">
        <f t="shared" si="11"/>
        <v>3141.8897932367154</v>
      </c>
      <c r="AX10" s="200">
        <f t="shared" si="11"/>
        <v>3141.8897932367154</v>
      </c>
      <c r="AY10" s="200">
        <f t="shared" si="11"/>
        <v>3141.8897932367154</v>
      </c>
      <c r="AZ10" s="200">
        <f t="shared" si="11"/>
        <v>3141.8897932367154</v>
      </c>
      <c r="BA10" s="200">
        <f t="shared" si="11"/>
        <v>3141.8897932367154</v>
      </c>
      <c r="BB10" s="201">
        <f>SUM(AP10:BA10)</f>
        <v>37702.67751884058</v>
      </c>
      <c r="BC10" s="200">
        <f t="shared" si="11"/>
        <v>3141.8897932367154</v>
      </c>
      <c r="BD10" s="200">
        <f t="shared" si="11"/>
        <v>3141.8897932367154</v>
      </c>
      <c r="BE10" s="200">
        <f t="shared" si="11"/>
        <v>3141.8897932367154</v>
      </c>
      <c r="BF10" s="200">
        <f t="shared" si="11"/>
        <v>3141.8897932367154</v>
      </c>
      <c r="BG10" s="200">
        <f t="shared" si="11"/>
        <v>3141.8897932367154</v>
      </c>
      <c r="BH10" s="200">
        <f t="shared" si="11"/>
        <v>3141.8897932367154</v>
      </c>
      <c r="BI10" s="200">
        <f t="shared" si="11"/>
        <v>3141.8897932367154</v>
      </c>
      <c r="BJ10" s="200">
        <f t="shared" si="11"/>
        <v>3141.8897932367154</v>
      </c>
      <c r="BK10" s="200">
        <f t="shared" si="11"/>
        <v>3141.8897932367154</v>
      </c>
      <c r="BL10" s="200">
        <f t="shared" si="11"/>
        <v>3141.8897932367154</v>
      </c>
      <c r="BM10" s="200">
        <f t="shared" si="11"/>
        <v>3141.8897932367154</v>
      </c>
      <c r="BN10" s="200">
        <f t="shared" si="11"/>
        <v>3141.8897932367154</v>
      </c>
      <c r="BO10" s="201">
        <f>SUM(BC10:BN10)</f>
        <v>37702.67751884058</v>
      </c>
      <c r="BP10" s="200">
        <f t="shared" si="11"/>
        <v>3141.8897932367154</v>
      </c>
      <c r="BQ10" s="200">
        <f t="shared" si="11"/>
        <v>3141.8897932367154</v>
      </c>
      <c r="BR10" s="200">
        <f t="shared" si="11"/>
        <v>3141.8897932367154</v>
      </c>
      <c r="BS10" s="200">
        <f t="shared" si="11"/>
        <v>3141.8897932367154</v>
      </c>
      <c r="BT10" s="200">
        <f t="shared" si="11"/>
        <v>3141.8897932367154</v>
      </c>
      <c r="BU10" s="200">
        <f t="shared" si="11"/>
        <v>3141.8897932367154</v>
      </c>
      <c r="BV10" s="200">
        <f t="shared" si="11"/>
        <v>3141.8897932367154</v>
      </c>
      <c r="BW10" s="200">
        <f t="shared" si="11"/>
        <v>3141.8897932367154</v>
      </c>
      <c r="BX10" s="200">
        <f t="shared" si="11"/>
        <v>3141.8897932367154</v>
      </c>
      <c r="BY10" s="200">
        <f t="shared" si="11"/>
        <v>3141.8897932367154</v>
      </c>
      <c r="BZ10" s="200">
        <f t="shared" si="11"/>
        <v>3141.8897932367154</v>
      </c>
      <c r="CA10" s="200">
        <f t="shared" si="11"/>
        <v>3141.8897932367154</v>
      </c>
      <c r="CB10" s="201">
        <f>SUM(BP10:CA10)</f>
        <v>37702.67751884058</v>
      </c>
      <c r="CC10" s="200">
        <f t="shared" si="11"/>
        <v>3141.8897932367154</v>
      </c>
      <c r="CD10" s="200">
        <f aca="true" t="shared" si="12" ref="CD10:CL10">$P$12/$B$13</f>
        <v>3141.8897932367154</v>
      </c>
      <c r="CE10" s="200">
        <f t="shared" si="12"/>
        <v>3141.8897932367154</v>
      </c>
      <c r="CF10" s="200">
        <f t="shared" si="12"/>
        <v>3141.8897932367154</v>
      </c>
      <c r="CG10" s="200">
        <f t="shared" si="12"/>
        <v>3141.8897932367154</v>
      </c>
      <c r="CH10" s="200">
        <f t="shared" si="12"/>
        <v>3141.8897932367154</v>
      </c>
      <c r="CI10" s="200">
        <f t="shared" si="12"/>
        <v>3141.8897932367154</v>
      </c>
      <c r="CJ10" s="200">
        <f t="shared" si="12"/>
        <v>3141.8897932367154</v>
      </c>
      <c r="CK10" s="200">
        <f t="shared" si="12"/>
        <v>3141.8897932367154</v>
      </c>
      <c r="CL10" s="200">
        <f t="shared" si="12"/>
        <v>3141.8897932367154</v>
      </c>
      <c r="CM10" s="200"/>
      <c r="CN10" s="200"/>
      <c r="CO10" s="201">
        <f>SUM(CC10:CN10)</f>
        <v>31418.89793236715</v>
      </c>
      <c r="CP10" s="202"/>
    </row>
    <row r="11" spans="1:94" ht="12.75">
      <c r="A11" s="194" t="s">
        <v>16</v>
      </c>
      <c r="B11" s="199">
        <f>O11+AB11+AO11+BB11+BO11+CB11+CO11</f>
        <v>75876.63850666677</v>
      </c>
      <c r="C11" s="200"/>
      <c r="D11" s="200"/>
      <c r="E11" s="200"/>
      <c r="F11" s="200"/>
      <c r="G11" s="205"/>
      <c r="H11" s="205"/>
      <c r="I11" s="205"/>
      <c r="J11" s="205"/>
      <c r="K11" s="205"/>
      <c r="L11" s="205"/>
      <c r="M11" s="205"/>
      <c r="N11" s="205"/>
      <c r="O11" s="201">
        <f>SUM(C11:N11)</f>
        <v>0</v>
      </c>
      <c r="P11" s="205"/>
      <c r="Q11" s="200">
        <f aca="true" t="shared" si="13" ref="Q11:BN11">Q9</f>
        <v>2167.9039573333334</v>
      </c>
      <c r="R11" s="200">
        <f t="shared" si="13"/>
        <v>2136.4850594009663</v>
      </c>
      <c r="S11" s="200">
        <f t="shared" si="13"/>
        <v>2105.066161468599</v>
      </c>
      <c r="T11" s="200">
        <f t="shared" si="13"/>
        <v>2073.647263536232</v>
      </c>
      <c r="U11" s="200">
        <f t="shared" si="13"/>
        <v>2042.2283656038653</v>
      </c>
      <c r="V11" s="200">
        <f t="shared" si="13"/>
        <v>2010.8094676714982</v>
      </c>
      <c r="W11" s="200">
        <f t="shared" si="13"/>
        <v>1979.390569739131</v>
      </c>
      <c r="X11" s="200">
        <f t="shared" si="13"/>
        <v>1947.9716718067639</v>
      </c>
      <c r="Y11" s="200">
        <f t="shared" si="13"/>
        <v>1916.5527738743967</v>
      </c>
      <c r="Z11" s="200">
        <f t="shared" si="13"/>
        <v>1885.1338759420296</v>
      </c>
      <c r="AA11" s="200">
        <f t="shared" si="13"/>
        <v>1853.7149780096624</v>
      </c>
      <c r="AB11" s="201">
        <f>SUM(P11:AA11)</f>
        <v>22118.904144386477</v>
      </c>
      <c r="AC11" s="200">
        <f t="shared" si="13"/>
        <v>1822.2960800772953</v>
      </c>
      <c r="AD11" s="200">
        <f t="shared" si="13"/>
        <v>1790.8771821449284</v>
      </c>
      <c r="AE11" s="200">
        <f t="shared" si="13"/>
        <v>1759.4582842125612</v>
      </c>
      <c r="AF11" s="200">
        <f t="shared" si="13"/>
        <v>1728.039386280194</v>
      </c>
      <c r="AG11" s="200">
        <f t="shared" si="13"/>
        <v>1696.620488347827</v>
      </c>
      <c r="AH11" s="200">
        <f t="shared" si="13"/>
        <v>1665.2015904154598</v>
      </c>
      <c r="AI11" s="200">
        <f t="shared" si="13"/>
        <v>1633.7826924830927</v>
      </c>
      <c r="AJ11" s="200">
        <f t="shared" si="13"/>
        <v>1602.3637945507255</v>
      </c>
      <c r="AK11" s="200">
        <f t="shared" si="13"/>
        <v>1570.9448966183584</v>
      </c>
      <c r="AL11" s="200">
        <f t="shared" si="13"/>
        <v>1539.5259986859912</v>
      </c>
      <c r="AM11" s="200">
        <f t="shared" si="13"/>
        <v>1508.1071007536245</v>
      </c>
      <c r="AN11" s="200">
        <f t="shared" si="13"/>
        <v>1476.6882028212574</v>
      </c>
      <c r="AO11" s="201">
        <f>SUM(AC11:AN11)</f>
        <v>19793.905697391314</v>
      </c>
      <c r="AP11" s="200">
        <f t="shared" si="13"/>
        <v>1445.2693048888902</v>
      </c>
      <c r="AQ11" s="200">
        <f t="shared" si="13"/>
        <v>1413.850406956523</v>
      </c>
      <c r="AR11" s="200">
        <f t="shared" si="13"/>
        <v>1382.431509024156</v>
      </c>
      <c r="AS11" s="200">
        <f t="shared" si="13"/>
        <v>1351.0126110917888</v>
      </c>
      <c r="AT11" s="200">
        <f t="shared" si="13"/>
        <v>1319.5937131594217</v>
      </c>
      <c r="AU11" s="200">
        <f t="shared" si="13"/>
        <v>1288.1748152270545</v>
      </c>
      <c r="AV11" s="200">
        <f t="shared" si="13"/>
        <v>1256.7559172946874</v>
      </c>
      <c r="AW11" s="200">
        <f t="shared" si="13"/>
        <v>1225.3370193623202</v>
      </c>
      <c r="AX11" s="200">
        <f t="shared" si="13"/>
        <v>1193.9181214299533</v>
      </c>
      <c r="AY11" s="200">
        <f t="shared" si="13"/>
        <v>1162.4992234975862</v>
      </c>
      <c r="AZ11" s="200">
        <f t="shared" si="13"/>
        <v>1131.080325565219</v>
      </c>
      <c r="BA11" s="200">
        <f t="shared" si="13"/>
        <v>1099.6614276328519</v>
      </c>
      <c r="BB11" s="201">
        <f>SUM(AP11:BA11)</f>
        <v>15269.584395130452</v>
      </c>
      <c r="BC11" s="200">
        <f t="shared" si="13"/>
        <v>1068.242529700485</v>
      </c>
      <c r="BD11" s="200">
        <f t="shared" si="13"/>
        <v>1036.8236317681178</v>
      </c>
      <c r="BE11" s="200">
        <f t="shared" si="13"/>
        <v>1005.4047338357506</v>
      </c>
      <c r="BF11" s="200">
        <f t="shared" si="13"/>
        <v>973.9858359033834</v>
      </c>
      <c r="BG11" s="200">
        <f t="shared" si="13"/>
        <v>942.5669379710165</v>
      </c>
      <c r="BH11" s="200">
        <f t="shared" si="13"/>
        <v>911.1480400386494</v>
      </c>
      <c r="BI11" s="200">
        <f t="shared" si="13"/>
        <v>879.7291421062822</v>
      </c>
      <c r="BJ11" s="200">
        <f t="shared" si="13"/>
        <v>848.3102441739151</v>
      </c>
      <c r="BK11" s="200">
        <f t="shared" si="13"/>
        <v>816.891346241548</v>
      </c>
      <c r="BL11" s="200">
        <f t="shared" si="13"/>
        <v>785.4724483091809</v>
      </c>
      <c r="BM11" s="200">
        <f t="shared" si="13"/>
        <v>754.0535503768137</v>
      </c>
      <c r="BN11" s="200">
        <f t="shared" si="13"/>
        <v>722.6346524444466</v>
      </c>
      <c r="BO11" s="201">
        <f>SUM(BC11:BN11)</f>
        <v>10745.263092869589</v>
      </c>
      <c r="BP11" s="200">
        <f aca="true" t="shared" si="14" ref="BP11:CA11">BP9</f>
        <v>691.2157545120796</v>
      </c>
      <c r="BQ11" s="200">
        <f t="shared" si="14"/>
        <v>659.7968565797124</v>
      </c>
      <c r="BR11" s="200">
        <f t="shared" si="14"/>
        <v>628.3779586473453</v>
      </c>
      <c r="BS11" s="200">
        <f t="shared" si="14"/>
        <v>596.9590607149781</v>
      </c>
      <c r="BT11" s="200">
        <f t="shared" si="14"/>
        <v>565.5401627826109</v>
      </c>
      <c r="BU11" s="200">
        <f t="shared" si="14"/>
        <v>534.1212648502437</v>
      </c>
      <c r="BV11" s="200">
        <f t="shared" si="14"/>
        <v>502.7023669178766</v>
      </c>
      <c r="BW11" s="200">
        <f t="shared" si="14"/>
        <v>471.2834689855094</v>
      </c>
      <c r="BX11" s="200">
        <f t="shared" si="14"/>
        <v>439.86457105314224</v>
      </c>
      <c r="BY11" s="200">
        <f t="shared" si="14"/>
        <v>408.445673120775</v>
      </c>
      <c r="BZ11" s="200">
        <f t="shared" si="14"/>
        <v>377.02677518840784</v>
      </c>
      <c r="CA11" s="200">
        <f t="shared" si="14"/>
        <v>345.60787725604064</v>
      </c>
      <c r="CB11" s="201">
        <f>SUM(BP11:CA11)</f>
        <v>6220.94179060872</v>
      </c>
      <c r="CC11" s="200">
        <f aca="true" t="shared" si="15" ref="CC11:CN11">CC9</f>
        <v>314.1889793236735</v>
      </c>
      <c r="CD11" s="200">
        <f t="shared" si="15"/>
        <v>282.77008139130635</v>
      </c>
      <c r="CE11" s="200">
        <f t="shared" si="15"/>
        <v>251.3511834589392</v>
      </c>
      <c r="CF11" s="200">
        <f t="shared" si="15"/>
        <v>219.9322855265721</v>
      </c>
      <c r="CG11" s="200">
        <f t="shared" si="15"/>
        <v>188.51338759420494</v>
      </c>
      <c r="CH11" s="200">
        <f t="shared" si="15"/>
        <v>157.0944896618378</v>
      </c>
      <c r="CI11" s="200">
        <f t="shared" si="15"/>
        <v>125.67559172947064</v>
      </c>
      <c r="CJ11" s="200">
        <f t="shared" si="15"/>
        <v>94.2566937971035</v>
      </c>
      <c r="CK11" s="200">
        <f t="shared" si="15"/>
        <v>62.83779586473636</v>
      </c>
      <c r="CL11" s="200">
        <f t="shared" si="15"/>
        <v>31.4188979323692</v>
      </c>
      <c r="CM11" s="200">
        <f t="shared" si="15"/>
        <v>2.0463630789890885E-12</v>
      </c>
      <c r="CN11" s="200">
        <f t="shared" si="15"/>
        <v>2.0463630789890885E-12</v>
      </c>
      <c r="CO11" s="201">
        <f>SUM(CC11:CN11)</f>
        <v>1728.0393862802175</v>
      </c>
      <c r="CP11" s="202" t="s">
        <v>63</v>
      </c>
    </row>
    <row r="12" spans="1:94" ht="12.75">
      <c r="A12" s="194" t="s">
        <v>17</v>
      </c>
      <c r="B12" s="199">
        <f>CO12</f>
        <v>2.0463630789890885E-10</v>
      </c>
      <c r="C12" s="200">
        <f>C7</f>
        <v>0</v>
      </c>
      <c r="D12" s="200">
        <f>C12+D7-D10+D8</f>
        <v>0</v>
      </c>
      <c r="E12" s="200">
        <f>D12+E7-E10+E8</f>
        <v>0</v>
      </c>
      <c r="F12" s="200">
        <f>E12+F7-F10+F8</f>
        <v>0</v>
      </c>
      <c r="G12" s="200">
        <f aca="true" t="shared" si="16" ref="G12:M12">F12+G7-G10+G8</f>
        <v>22672.284444444445</v>
      </c>
      <c r="H12" s="200">
        <f>G12+H7-H10+H8</f>
        <v>45344.56888888889</v>
      </c>
      <c r="I12" s="200">
        <f t="shared" si="16"/>
        <v>68016.85333333333</v>
      </c>
      <c r="J12" s="200">
        <f t="shared" si="16"/>
        <v>90689.13777777778</v>
      </c>
      <c r="K12" s="200">
        <f t="shared" si="16"/>
        <v>113361.42222222223</v>
      </c>
      <c r="L12" s="200">
        <f t="shared" si="16"/>
        <v>159839.60533333334</v>
      </c>
      <c r="M12" s="200">
        <f t="shared" si="16"/>
        <v>191637.82400000002</v>
      </c>
      <c r="N12" s="200">
        <f>M12+N7-N10+N8</f>
        <v>207796.8106666667</v>
      </c>
      <c r="O12" s="201">
        <f>N12</f>
        <v>207796.8106666667</v>
      </c>
      <c r="P12" s="200">
        <f>O12+P7-P10+P8</f>
        <v>216790.39573333337</v>
      </c>
      <c r="Q12" s="200">
        <f aca="true" t="shared" si="17" ref="Q12:Z12">P12+Q7-Q10+Q8</f>
        <v>213648.50594009666</v>
      </c>
      <c r="R12" s="200">
        <f t="shared" si="17"/>
        <v>210506.61614685995</v>
      </c>
      <c r="S12" s="200">
        <f t="shared" si="17"/>
        <v>207364.72635362323</v>
      </c>
      <c r="T12" s="200">
        <f t="shared" si="17"/>
        <v>204222.83656038652</v>
      </c>
      <c r="U12" s="200">
        <f t="shared" si="17"/>
        <v>201080.9467671498</v>
      </c>
      <c r="V12" s="200">
        <f t="shared" si="17"/>
        <v>197939.0569739131</v>
      </c>
      <c r="W12" s="200">
        <f t="shared" si="17"/>
        <v>194797.1671806764</v>
      </c>
      <c r="X12" s="200">
        <f t="shared" si="17"/>
        <v>191655.27738743968</v>
      </c>
      <c r="Y12" s="200">
        <f t="shared" si="17"/>
        <v>188513.38759420297</v>
      </c>
      <c r="Z12" s="200">
        <f t="shared" si="17"/>
        <v>185371.49780096626</v>
      </c>
      <c r="AA12" s="200">
        <f>Z12+AA7-AA10+AA8</f>
        <v>182229.60800772955</v>
      </c>
      <c r="AB12" s="201">
        <f>AA12</f>
        <v>182229.60800772955</v>
      </c>
      <c r="AC12" s="200">
        <f>AB12+AC7-AC10+AC8</f>
        <v>179087.71821449284</v>
      </c>
      <c r="AD12" s="200">
        <f aca="true" t="shared" si="18" ref="AD12:AN12">AC12+AD7-AD10+AD8</f>
        <v>175945.82842125613</v>
      </c>
      <c r="AE12" s="200">
        <f t="shared" si="18"/>
        <v>172803.93862801942</v>
      </c>
      <c r="AF12" s="200">
        <f t="shared" si="18"/>
        <v>169662.0488347827</v>
      </c>
      <c r="AG12" s="200">
        <f t="shared" si="18"/>
        <v>166520.159041546</v>
      </c>
      <c r="AH12" s="200">
        <f t="shared" si="18"/>
        <v>163378.26924830928</v>
      </c>
      <c r="AI12" s="200">
        <f t="shared" si="18"/>
        <v>160236.37945507257</v>
      </c>
      <c r="AJ12" s="200">
        <f t="shared" si="18"/>
        <v>157094.48966183586</v>
      </c>
      <c r="AK12" s="200">
        <f t="shared" si="18"/>
        <v>153952.59986859915</v>
      </c>
      <c r="AL12" s="200">
        <f t="shared" si="18"/>
        <v>150810.71007536244</v>
      </c>
      <c r="AM12" s="200">
        <f t="shared" si="18"/>
        <v>147668.82028212573</v>
      </c>
      <c r="AN12" s="200">
        <f t="shared" si="18"/>
        <v>144526.93048888902</v>
      </c>
      <c r="AO12" s="201">
        <f>AN12</f>
        <v>144526.93048888902</v>
      </c>
      <c r="AP12" s="200">
        <f>AO12+AP7-AP10+AP8</f>
        <v>141385.0406956523</v>
      </c>
      <c r="AQ12" s="200">
        <f aca="true" t="shared" si="19" ref="AQ12:BA12">AP12+AQ7-AQ10+AQ8</f>
        <v>138243.1509024156</v>
      </c>
      <c r="AR12" s="200">
        <f t="shared" si="19"/>
        <v>135101.2611091789</v>
      </c>
      <c r="AS12" s="200">
        <f t="shared" si="19"/>
        <v>131959.37131594217</v>
      </c>
      <c r="AT12" s="200">
        <f t="shared" si="19"/>
        <v>128817.48152270546</v>
      </c>
      <c r="AU12" s="200">
        <f t="shared" si="19"/>
        <v>125675.59172946875</v>
      </c>
      <c r="AV12" s="200">
        <f t="shared" si="19"/>
        <v>122533.70193623204</v>
      </c>
      <c r="AW12" s="200">
        <f t="shared" si="19"/>
        <v>119391.81214299533</v>
      </c>
      <c r="AX12" s="200">
        <f t="shared" si="19"/>
        <v>116249.92234975862</v>
      </c>
      <c r="AY12" s="200">
        <f t="shared" si="19"/>
        <v>113108.03255652191</v>
      </c>
      <c r="AZ12" s="200">
        <f t="shared" si="19"/>
        <v>109966.1427632852</v>
      </c>
      <c r="BA12" s="200">
        <f t="shared" si="19"/>
        <v>106824.25297004849</v>
      </c>
      <c r="BB12" s="201">
        <f>BA12</f>
        <v>106824.25297004849</v>
      </c>
      <c r="BC12" s="200">
        <f>BB12+BC7-BC10+BC8</f>
        <v>103682.36317681178</v>
      </c>
      <c r="BD12" s="200">
        <f aca="true" t="shared" si="20" ref="BD12:BN12">BC12+BD7-BD10+BD8</f>
        <v>100540.47338357507</v>
      </c>
      <c r="BE12" s="200">
        <f t="shared" si="20"/>
        <v>97398.58359033836</v>
      </c>
      <c r="BF12" s="200">
        <f t="shared" si="20"/>
        <v>94256.69379710165</v>
      </c>
      <c r="BG12" s="200">
        <f t="shared" si="20"/>
        <v>91114.80400386493</v>
      </c>
      <c r="BH12" s="200">
        <f t="shared" si="20"/>
        <v>87972.91421062822</v>
      </c>
      <c r="BI12" s="200">
        <f t="shared" si="20"/>
        <v>84831.02441739151</v>
      </c>
      <c r="BJ12" s="200">
        <f t="shared" si="20"/>
        <v>81689.1346241548</v>
      </c>
      <c r="BK12" s="200">
        <f t="shared" si="20"/>
        <v>78547.24483091809</v>
      </c>
      <c r="BL12" s="200">
        <f t="shared" si="20"/>
        <v>75405.35503768138</v>
      </c>
      <c r="BM12" s="200">
        <f t="shared" si="20"/>
        <v>72263.46524444467</v>
      </c>
      <c r="BN12" s="200">
        <f t="shared" si="20"/>
        <v>69121.57545120796</v>
      </c>
      <c r="BO12" s="201">
        <f>BN12</f>
        <v>69121.57545120796</v>
      </c>
      <c r="BP12" s="200">
        <f aca="true" t="shared" si="21" ref="BP12:CA12">BO12+BP7-BP10+BP8</f>
        <v>65979.68565797125</v>
      </c>
      <c r="BQ12" s="200">
        <f t="shared" si="21"/>
        <v>62837.79586473453</v>
      </c>
      <c r="BR12" s="200">
        <f t="shared" si="21"/>
        <v>59695.90607149781</v>
      </c>
      <c r="BS12" s="200">
        <f t="shared" si="21"/>
        <v>56554.01627826109</v>
      </c>
      <c r="BT12" s="200">
        <f t="shared" si="21"/>
        <v>53412.126485024375</v>
      </c>
      <c r="BU12" s="200">
        <f t="shared" si="21"/>
        <v>50270.23669178766</v>
      </c>
      <c r="BV12" s="200">
        <f t="shared" si="21"/>
        <v>47128.34689855094</v>
      </c>
      <c r="BW12" s="200">
        <f t="shared" si="21"/>
        <v>43986.45710531422</v>
      </c>
      <c r="BX12" s="200">
        <f t="shared" si="21"/>
        <v>40844.5673120775</v>
      </c>
      <c r="BY12" s="200">
        <f t="shared" si="21"/>
        <v>37702.677518840785</v>
      </c>
      <c r="BZ12" s="200">
        <f t="shared" si="21"/>
        <v>34560.78772560407</v>
      </c>
      <c r="CA12" s="200">
        <f t="shared" si="21"/>
        <v>31418.897932367352</v>
      </c>
      <c r="CB12" s="201">
        <f>CA12</f>
        <v>31418.897932367352</v>
      </c>
      <c r="CC12" s="200">
        <f aca="true" t="shared" si="22" ref="CC12:CN12">CB12+CC7-CC10+CC8</f>
        <v>28277.008139130638</v>
      </c>
      <c r="CD12" s="200">
        <f t="shared" si="22"/>
        <v>25135.118345893923</v>
      </c>
      <c r="CE12" s="200">
        <f t="shared" si="22"/>
        <v>21993.22855265721</v>
      </c>
      <c r="CF12" s="200">
        <f t="shared" si="22"/>
        <v>18851.338759420494</v>
      </c>
      <c r="CG12" s="200">
        <f t="shared" si="22"/>
        <v>15709.44896618378</v>
      </c>
      <c r="CH12" s="200">
        <f t="shared" si="22"/>
        <v>12567.559172947065</v>
      </c>
      <c r="CI12" s="200">
        <f t="shared" si="22"/>
        <v>9425.66937971035</v>
      </c>
      <c r="CJ12" s="200">
        <f t="shared" si="22"/>
        <v>6283.779586473635</v>
      </c>
      <c r="CK12" s="200">
        <f t="shared" si="22"/>
        <v>3141.88979323692</v>
      </c>
      <c r="CL12" s="200">
        <f t="shared" si="22"/>
        <v>2.0463630789890885E-10</v>
      </c>
      <c r="CM12" s="200">
        <f t="shared" si="22"/>
        <v>2.0463630789890885E-10</v>
      </c>
      <c r="CN12" s="200">
        <f t="shared" si="22"/>
        <v>2.0463630789890885E-10</v>
      </c>
      <c r="CO12" s="201">
        <f>CN12</f>
        <v>2.0463630789890885E-10</v>
      </c>
      <c r="CP12" s="206">
        <f>MAX(C12:BO12)</f>
        <v>216790.39573333337</v>
      </c>
    </row>
    <row r="13" spans="1:94" ht="12.75">
      <c r="A13" s="183" t="s">
        <v>85</v>
      </c>
      <c r="B13" s="183">
        <f>Исх!C32*12-Исх!C33</f>
        <v>69</v>
      </c>
      <c r="CP13" s="186"/>
    </row>
    <row r="16" ht="12.75">
      <c r="A16" s="207">
        <f>B7+B8-B10</f>
        <v>0</v>
      </c>
    </row>
    <row r="17" ht="12.75">
      <c r="A17" s="207">
        <f>B9-B8-B11</f>
        <v>0</v>
      </c>
    </row>
  </sheetData>
  <sheetProtection/>
  <mergeCells count="7"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1968503937007874" bottom="0.31496062992125984" header="0.1968503937007874" footer="0.2362204724409449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2012-01-05T06:40:04Z</cp:lastPrinted>
  <dcterms:created xsi:type="dcterms:W3CDTF">2006-03-01T15:11:19Z</dcterms:created>
  <dcterms:modified xsi:type="dcterms:W3CDTF">2012-01-05T07:07:58Z</dcterms:modified>
  <cp:category/>
  <cp:version/>
  <cp:contentType/>
  <cp:contentStatus/>
</cp:coreProperties>
</file>