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ФОТ" sheetId="7" r:id="rId7"/>
    <sheet name="Пост" sheetId="8" r:id="rId8"/>
    <sheet name="кр" sheetId="9" r:id="rId9"/>
    <sheet name="Инв" sheetId="10" r:id="rId10"/>
    <sheet name="безубыт" sheetId="11" r:id="rId11"/>
    <sheet name="для текста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8">'[32]Главн'!$D$44</definedName>
    <definedName name="imush1">'[21]Главн'!$D$44</definedName>
    <definedName name="imush2" localSheetId="2">'[46]Главн'!$E$44</definedName>
    <definedName name="imush2" localSheetId="8">'[32]Главн'!$E$44</definedName>
    <definedName name="imush2">'[21]Главн'!$E$44</definedName>
    <definedName name="imush3" localSheetId="2">'[46]Главн'!$F$44</definedName>
    <definedName name="imush3" localSheetId="8">'[32]Главн'!$F$44</definedName>
    <definedName name="imush3">'[21]Главн'!$F$44</definedName>
    <definedName name="imush4" localSheetId="2">'[46]Главн'!$G$44</definedName>
    <definedName name="imush4" localSheetId="8">'[32]Главн'!$G$44</definedName>
    <definedName name="imush4">'[21]Главн'!$G$44</definedName>
    <definedName name="imush5" localSheetId="2">'[46]Главн'!$H$44</definedName>
    <definedName name="imush5" localSheetId="8">'[32]Главн'!$H$44</definedName>
    <definedName name="imush5">'[21]Главн'!$H$44</definedName>
    <definedName name="imush6" localSheetId="2">'[46]Главн'!$I$44</definedName>
    <definedName name="imush6" localSheetId="8">'[32]Главн'!$I$44</definedName>
    <definedName name="imush6">'[21]Главн'!$I$44</definedName>
    <definedName name="imush7" localSheetId="2">'[46]Главн'!$J$44</definedName>
    <definedName name="imush7" localSheetId="8">'[32]Главн'!$J$44</definedName>
    <definedName name="imush7">'[21]Главн'!$J$44</definedName>
    <definedName name="imush8" localSheetId="2">'[46]Главн'!$K$44</definedName>
    <definedName name="imush8" localSheetId="8">'[32]Главн'!$K$44</definedName>
    <definedName name="imush8">'[21]Главн'!$K$44</definedName>
    <definedName name="inf" localSheetId="2">'[46]Главн'!$C$35</definedName>
    <definedName name="inf" localSheetId="8">'[32]Главн'!$C$35</definedName>
    <definedName name="inf">'[21]Главн'!$C$35</definedName>
    <definedName name="kpn1" localSheetId="8">'[32]Главн'!$D$46</definedName>
    <definedName name="kpn1">'[21]Главн'!$D$46</definedName>
    <definedName name="kpn2" localSheetId="8">'[32]Главн'!$E$46</definedName>
    <definedName name="kpn2">'[21]Главн'!$E$46</definedName>
    <definedName name="kpn3" localSheetId="8">'[32]Главн'!$F$46</definedName>
    <definedName name="kpn3">'[21]Главн'!$F$46</definedName>
    <definedName name="kpn4" localSheetId="8">'[32]Главн'!$G$46</definedName>
    <definedName name="kpn4">'[21]Главн'!$G$46</definedName>
    <definedName name="kpn5" localSheetId="8">'[32]Главн'!$H$46</definedName>
    <definedName name="kpn5">'[21]Главн'!$H$46</definedName>
    <definedName name="kpn6" localSheetId="8">'[32]Главн'!$I$46</definedName>
    <definedName name="kpn6">'[21]Главн'!$I$46</definedName>
    <definedName name="kpn7" localSheetId="8">'[32]Главн'!$J$46</definedName>
    <definedName name="kpn7">'[21]Главн'!$J$46</definedName>
    <definedName name="kpn8" localSheetId="8">'[32]Главн'!$K$46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8">'[32]Главн'!$C$31</definedName>
    <definedName name="kurs2">'[21]Главн'!$C$31</definedName>
    <definedName name="lgot1" localSheetId="2">'[46]Главн'!$D$41</definedName>
    <definedName name="lgot1" localSheetId="8">'[32]Главн'!$D$41</definedName>
    <definedName name="lgot1">'[21]Главн'!$D$41</definedName>
    <definedName name="lgot2" localSheetId="2">'[46]Главн'!$E$41</definedName>
    <definedName name="lgot2" localSheetId="8">'[32]Главн'!$E$41</definedName>
    <definedName name="lgot2">'[21]Главн'!$E$41</definedName>
    <definedName name="lgot3" localSheetId="2">'[46]Главн'!$F$41</definedName>
    <definedName name="lgot3" localSheetId="8">'[32]Главн'!$F$41</definedName>
    <definedName name="lgot3">'[21]Главн'!$F$41</definedName>
    <definedName name="lgot4" localSheetId="2">'[46]Главн'!$G$41</definedName>
    <definedName name="lgot4" localSheetId="8">'[32]Главн'!$G$41</definedName>
    <definedName name="lgot4">'[21]Главн'!$G$41</definedName>
    <definedName name="lgot5" localSheetId="2">'[46]Главн'!$H$41</definedName>
    <definedName name="lgot5" localSheetId="8">'[32]Главн'!$H$41</definedName>
    <definedName name="lgot5">'[21]Главн'!$H$41</definedName>
    <definedName name="name" localSheetId="2">'[46]Главн'!$C$2</definedName>
    <definedName name="name" localSheetId="8">'[32]Главн'!$C$2</definedName>
    <definedName name="name">'[21]Главн'!$C$2</definedName>
    <definedName name="nds1" localSheetId="8">'[32]Главн'!$D$42</definedName>
    <definedName name="nds1">'[21]Главн'!$D$42</definedName>
    <definedName name="nds2" localSheetId="8">'[32]Главн'!$E$42</definedName>
    <definedName name="nds2">'[21]Главн'!$E$42</definedName>
    <definedName name="nds3" localSheetId="8">'[32]Главн'!$F$42</definedName>
    <definedName name="nds3">'[21]Главн'!$F$42</definedName>
    <definedName name="nds4" localSheetId="8">'[32]Главн'!$G$42</definedName>
    <definedName name="nds4">'[21]Главн'!$G$42</definedName>
    <definedName name="nds5" localSheetId="8">'[32]Главн'!$H$42</definedName>
    <definedName name="nds5">'[21]Главн'!$H$42</definedName>
    <definedName name="nds6" localSheetId="8">'[32]Главн'!$I$42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8">'[32]Амортиз'!$F$125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>'[7]Свод'!#REF!</definedName>
    <definedName name="USD" localSheetId="8">'[7]Свод'!#REF!</definedName>
    <definedName name="USD">'[12]Осн. пара'!$C$4</definedName>
    <definedName name="valuta" localSheetId="2">'[46]Главн'!$C$21</definedName>
    <definedName name="valuta" localSheetId="8">'[32]Главн'!$C$21</definedName>
    <definedName name="valuta">'[21]Главн'!$C$21</definedName>
    <definedName name="valuta2" localSheetId="2">'[46]Главн'!$C$19</definedName>
    <definedName name="valuta2" localSheetId="8">'[32]Главн'!$C$19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8">'[32]Invest'!$C$7:$C$240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'[35]Исх'!$C$16</definedName>
    <definedName name="долл" localSheetId="7">#REF!</definedName>
    <definedName name="долл" localSheetId="5">#REF!</definedName>
    <definedName name="долл" localSheetId="6">'ФОТ'!#REF!</definedName>
    <definedName name="долл">#REF!</definedName>
    <definedName name="доллар" localSheetId="2">'[49]Параметры'!$C$18</definedName>
    <definedName name="доллар" localSheetId="8">'[36]Параметры'!$C$18</definedName>
    <definedName name="доллар">'[25]Параметры'!$C$18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1">'[8]Общ_Д'!$B$16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'Инв'!$4:$4</definedName>
    <definedName name="_xlnm.Print_Titles" localSheetId="8">'кр'!$A:$B</definedName>
    <definedName name="_xlnm.Print_Titles" localSheetId="6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8">'[32]Главн'!$C$8</definedName>
    <definedName name="Инвестор1">'[21]Главн'!$C$8</definedName>
    <definedName name="Инвестор2" localSheetId="2">'[46]Главн'!$C$9</definedName>
    <definedName name="Инвестор2" localSheetId="8">'[32]Главн'!$C$9</definedName>
    <definedName name="Инвестор2">'[21]Главн'!$C$9</definedName>
    <definedName name="Инвестор3" localSheetId="2">'[46]Главн'!$C$10</definedName>
    <definedName name="Инвестор3" localSheetId="8">'[32]Главн'!$C$10</definedName>
    <definedName name="Инвестор3">'[21]Главн'!$C$10</definedName>
    <definedName name="инициатор" localSheetId="2">'[46]Главн'!$C$7</definedName>
    <definedName name="инициатор" localSheetId="8">'[32]Главн'!$C$7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'[5]Осн.показ'!$D$15</definedName>
    <definedName name="кндс" localSheetId="7">#REF!</definedName>
    <definedName name="кндс" localSheetId="5">#REF!</definedName>
    <definedName name="кндс" localSheetId="6">'ФОТ'!#REF!</definedName>
    <definedName name="кндс">#REF!</definedName>
    <definedName name="кндс1" localSheetId="2">'[51]Исх'!$C$8</definedName>
    <definedName name="кндс1" localSheetId="10">'[17]Исх'!$C$8</definedName>
    <definedName name="кндс1" localSheetId="8">'[35]Исх'!$C$8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0">'[19]Данные,рентаб'!$C$23</definedName>
    <definedName name="Курс" localSheetId="8">'[13]Перем. затраты'!$P$45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8">'[39]константы'!$A$15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>'[14]Финпоки1'!#REF!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'[54]Осн.показ'!$C$10</definedName>
    <definedName name="мес" localSheetId="8">'[41]Осн.показ'!$C$10</definedName>
    <definedName name="мес">'[24]Осн.показ'!$C$10</definedName>
    <definedName name="мес1" localSheetId="2">'[54]Осн.показ'!$C$11</definedName>
    <definedName name="мес1" localSheetId="8">'[41]Осн.показ'!$C$11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8">'[42]Параметры'!$C$2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0">'[18]Исх'!$C$9</definedName>
    <definedName name="НДС" localSheetId="8">'[13]Перем. затраты'!$P$47</definedName>
    <definedName name="НДС" localSheetId="6">'ФОТ'!#REF!</definedName>
    <definedName name="ндс">'Исх'!$C$17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'[51]Исх'!$C$7</definedName>
    <definedName name="НДС1" localSheetId="10">'[17]Исх'!$C$7</definedName>
    <definedName name="НДС1" localSheetId="8">'[35]Исх'!$C$7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'1-Ф3'!$A$1:$AH$35</definedName>
    <definedName name="_xlnm.Print_Area" localSheetId="1">'2-ф2'!$A$1:$AH$31</definedName>
    <definedName name="_xlnm.Print_Area" localSheetId="2">'3-Баланс'!$A$1:$AH$26</definedName>
    <definedName name="_xlnm.Print_Area" localSheetId="11">'для текста'!$A$1:$B$10</definedName>
    <definedName name="_xlnm.Print_Area" localSheetId="9">'Инв'!$A$1:$Q$35</definedName>
    <definedName name="_xlnm.Print_Area" localSheetId="8">'кр'!$A$1:$CO$13</definedName>
    <definedName name="_xlnm.Print_Area" localSheetId="6">'ФОТ'!$A$1:$K$35</definedName>
    <definedName name="обм" localSheetId="2">'3-Баланс'!#REF!</definedName>
    <definedName name="обм" localSheetId="10">'[16]ф2'!#REF!</definedName>
    <definedName name="обм" localSheetId="4">'2-ф2'!#REF!</definedName>
    <definedName name="обм" localSheetId="8">'[40]ф2'!#REF!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8">'[41]ОС'!$D$27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'[46]Главн'!$C$2</definedName>
    <definedName name="Показатели" localSheetId="8">'[32]Главн'!$C$2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'[54]Осн.показ'!$C$12</definedName>
    <definedName name="рас" localSheetId="8">'[41]Осн.показ'!$C$12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'ФОТ'!#REF!</definedName>
    <definedName name="руб">#REF!</definedName>
    <definedName name="себ" localSheetId="2">'3-Баланс'!#REF!</definedName>
    <definedName name="себ" localSheetId="10">'[16]ф2'!#REF!</definedName>
    <definedName name="себ" localSheetId="4">'2-ф2'!#REF!</definedName>
    <definedName name="себ" localSheetId="8">'[40]ф2'!#REF!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'[46]Главн'!$D$48</definedName>
    <definedName name="соц1" localSheetId="8">'[32]Главн'!$D$48</definedName>
    <definedName name="соц1">'[21]Главн'!$D$48</definedName>
    <definedName name="соц2" localSheetId="2">'[46]Главн'!$E$48</definedName>
    <definedName name="соц2" localSheetId="8">'[32]Главн'!$E$48</definedName>
    <definedName name="соц2">'[21]Главн'!$E$48</definedName>
    <definedName name="соц3" localSheetId="2">'[46]Главн'!$F$48</definedName>
    <definedName name="соц3" localSheetId="8">'[32]Главн'!$F$48</definedName>
    <definedName name="соц3">'[21]Главн'!$F$48</definedName>
    <definedName name="соц4" localSheetId="2">'[46]Главн'!$G$48</definedName>
    <definedName name="соц4" localSheetId="8">'[32]Главн'!$G$48</definedName>
    <definedName name="соц4">'[21]Главн'!$G$48</definedName>
    <definedName name="соц5" localSheetId="2">'[46]Главн'!$H$48</definedName>
    <definedName name="соц5" localSheetId="8">'[32]Главн'!$H$48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'[46]Invest'!$I$7:$I$240</definedName>
    <definedName name="Срок_инвестиций1" localSheetId="8">'[32]Invest'!$I$7:$I$240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8">'[32]Invest'!$M$7:$M$240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8">'[32]Invest'!$Q$7:$Q$240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8">'[32]Invest'!$U$7:$U$240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8">'[44]Норм'!$F$9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8">'[32]Invest'!$H$7:$H$240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8">'[32]Invest'!$L$7:$L$240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8">'[32]Invest'!$P$7:$P$240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8">'[32]Invest'!$T$7:$T$240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8">'[39]константы'!$F$2:$G$30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8">'[41]Осн.показ'!$C$6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<sst xmlns="http://schemas.openxmlformats.org/spreadsheetml/2006/main" count="409" uniqueCount="315">
  <si>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</si>
  <si>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</si>
  <si>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</si>
  <si>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</si>
  <si>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</si>
  <si>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</si>
  <si>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</si>
  <si>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</si>
  <si>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</si>
  <si>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</si>
  <si>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</si>
  <si>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</si>
  <si>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</si>
  <si>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</si>
  <si>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</si>
  <si>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</si>
  <si>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</si>
  <si>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</si>
  <si>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</si>
  <si>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</si>
  <si>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 xml:space="preserve">Подоходный налог 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</si>
  <si>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</si>
  <si>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</si>
  <si>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</si>
  <si>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</si>
  <si>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</si>
  <si>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</si>
  <si>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</si>
  <si>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</si>
  <si>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</si>
  <si>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Корпоративный подоходный налог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</si>
  <si>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</si>
  <si>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</si>
  <si>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</si>
  <si>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</si>
  <si>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</si>
  <si>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</si>
  <si>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Доход облагаемый КПН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</si>
  <si>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</si>
  <si>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</si>
  <si>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</si>
  <si>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</si>
  <si>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</si>
  <si>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</si>
  <si>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</si>
  <si>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</si>
  <si>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</si>
  <si>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</si>
  <si>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</si>
  <si>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</si>
  <si>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</si>
  <si>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</si>
  <si>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</si>
  <si>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</si>
  <si>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</si>
  <si>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</si>
  <si>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</si>
  <si>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</si>
  <si>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</si>
  <si>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</si>
  <si>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</si>
  <si>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</si>
  <si>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</si>
  <si>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</si>
  <si>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Ставка КПН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</si>
  <si>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</si>
  <si>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</si>
  <si>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</si>
  <si>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</si>
  <si>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</si>
  <si>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</si>
  <si>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</si>
  <si>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</si>
  <si>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</si>
  <si>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</si>
  <si>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</si>
  <si>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</si>
  <si>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</si>
  <si>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</si>
  <si>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</si>
  <si>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</si>
  <si>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</si>
  <si>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</si>
  <si>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</si>
  <si>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</si>
  <si>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</si>
  <si>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</si>
  <si>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</si>
  <si>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</si>
  <si>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</si>
  <si>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</si>
  <si>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</si>
  <si>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</si>
  <si>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</si>
  <si>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</si>
  <si>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</si>
  <si>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</si>
  <si>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</si>
  <si>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</si>
  <si>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</si>
  <si>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</si>
  <si>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</si>
  <si>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</si>
  <si>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</si>
  <si>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</si>
  <si>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</si>
  <si>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</si>
  <si>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</si>
  <si>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</si>
  <si>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</si>
  <si>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</si>
  <si>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</si>
  <si>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</si>
  <si>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</si>
  <si>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</si>
  <si>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</si>
  <si>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</si>
  <si>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</si>
  <si>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</si>
  <si>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</si>
  <si>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</si>
  <si>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Электроэнергия</t>
  </si>
  <si>
    <t>с НДС</t>
  </si>
  <si>
    <t>Оборудование</t>
  </si>
  <si>
    <t>Освоение</t>
  </si>
  <si>
    <t>Кол-во групп</t>
  </si>
  <si>
    <t>Кол-во детей в 1 группе</t>
  </si>
  <si>
    <t>значение</t>
  </si>
  <si>
    <t>Содержание 1 ребенка</t>
  </si>
  <si>
    <t>Питание</t>
  </si>
  <si>
    <t>Переменные</t>
  </si>
  <si>
    <t>Постоянные</t>
  </si>
  <si>
    <t>Итого расходы на содержание 1 ребенка</t>
  </si>
  <si>
    <t>Справочно:</t>
  </si>
  <si>
    <t>Кол-во детей</t>
  </si>
  <si>
    <t>Питание (в мес.)</t>
  </si>
  <si>
    <t>Воспитатель</t>
  </si>
  <si>
    <t>Няня</t>
  </si>
  <si>
    <t>Повар</t>
  </si>
  <si>
    <t>Вспомогательный персонал</t>
  </si>
  <si>
    <t>Прачка</t>
  </si>
  <si>
    <t>Логопед</t>
  </si>
  <si>
    <t>Музыкант</t>
  </si>
  <si>
    <t>Всего по персоналу</t>
  </si>
  <si>
    <t>Услуги КСК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</si>
  <si>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</si>
  <si>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</si>
  <si>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</si>
  <si>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</si>
  <si>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</si>
  <si>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</si>
  <si>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</si>
  <si>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Хореограф</t>
  </si>
  <si>
    <t>Учитель англ.языка</t>
  </si>
  <si>
    <t>Методист</t>
  </si>
  <si>
    <t>Кух.рабочая</t>
  </si>
  <si>
    <t>Посудомойщица</t>
  </si>
  <si>
    <t>Коридорные</t>
  </si>
  <si>
    <t>Уборщица</t>
  </si>
  <si>
    <t>Охранник</t>
  </si>
  <si>
    <t>Зам.директора</t>
  </si>
  <si>
    <t>Педиатр</t>
  </si>
  <si>
    <t>Сантехник</t>
  </si>
  <si>
    <t>Электрик</t>
  </si>
  <si>
    <t>Завхоз</t>
  </si>
  <si>
    <t>Водоснабжение + канализация</t>
  </si>
  <si>
    <t>Теплоснабжение</t>
  </si>
  <si>
    <t>Интернет</t>
  </si>
  <si>
    <t>Полная себестоимость услуг</t>
  </si>
  <si>
    <t>Заработная плата</t>
  </si>
  <si>
    <t>Постоянные расходы</t>
  </si>
  <si>
    <t>Общее кол-во детей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</si>
  <si>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</si>
  <si>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</si>
  <si>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</si>
  <si>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</si>
  <si>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</si>
  <si>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</si>
  <si>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</si>
  <si>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</si>
  <si>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</si>
  <si>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</si>
  <si>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</si>
  <si>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</si>
  <si>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</si>
  <si>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</si>
  <si>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</si>
  <si>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</si>
  <si>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</si>
  <si>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</si>
  <si>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</si>
  <si>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</si>
  <si>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</si>
  <si>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</si>
  <si>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</si>
  <si>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</si>
  <si>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</si>
  <si>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</si>
  <si>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</si>
  <si>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</si>
  <si>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</si>
  <si>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</si>
  <si>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</si>
  <si>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</si>
  <si>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заполняемость групп</t>
  </si>
  <si>
    <t>продукты питания</t>
  </si>
  <si>
    <t xml:space="preserve">услуги детского сада </t>
  </si>
  <si>
    <t>Расходы периода</t>
  </si>
  <si>
    <t>Приобретение продуктов питания</t>
  </si>
  <si>
    <t>Административные расходы</t>
  </si>
  <si>
    <t>от реализации услуг детского сада</t>
  </si>
  <si>
    <t>ЧДП по Ф3</t>
  </si>
  <si>
    <t>Доход от услуг детсткого сада</t>
  </si>
  <si>
    <t>Постоянные расходы в месяц</t>
  </si>
  <si>
    <t>Плата в мес. за 1 ребенка, тыс.тг.</t>
  </si>
  <si>
    <t>Кол-во групп (макс)</t>
  </si>
  <si>
    <t>чел.</t>
  </si>
  <si>
    <t>Плата за 1 ребенка в мес.</t>
  </si>
  <si>
    <t>Расходы по оказанию услуг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</si>
  <si>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</si>
  <si>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</si>
  <si>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</si>
  <si>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</si>
  <si>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</si>
  <si>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</si>
  <si>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</si>
  <si>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</si>
  <si>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</si>
  <si>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Детская площадка (уличный комплекс)</t>
  </si>
  <si>
    <t>Игровой комплекс для помещений</t>
  </si>
  <si>
    <t>Кол-во</t>
  </si>
  <si>
    <t>Цена</t>
  </si>
  <si>
    <t>Курс рос.рубль/тенге</t>
  </si>
  <si>
    <t>http://www.pcarlo.ru/pricelist</t>
  </si>
  <si>
    <t>Шкаф для раздевалки 4-секционный</t>
  </si>
  <si>
    <t>Стол со скамейками</t>
  </si>
  <si>
    <t>Стенка для игрушек</t>
  </si>
  <si>
    <t>Аренда помещения</t>
  </si>
  <si>
    <t>Набор игровой мебели</t>
  </si>
  <si>
    <t>Скамейка для помещений</t>
  </si>
  <si>
    <t>Стульчик</t>
  </si>
  <si>
    <t>Спортивный комплекс</t>
  </si>
  <si>
    <t>Лазы</t>
  </si>
  <si>
    <t>Песочница</t>
  </si>
  <si>
    <t>Качалка-балансир</t>
  </si>
  <si>
    <t>Карусель</t>
  </si>
  <si>
    <t>Игровая мебель</t>
  </si>
  <si>
    <t>Мебель для столовой</t>
  </si>
  <si>
    <t>Посуда, утварь</t>
  </si>
  <si>
    <t>Доля собсвенного участия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</si>
  <si>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</si>
  <si>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</si>
  <si>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</si>
  <si>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</si>
  <si>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</si>
  <si>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</si>
  <si>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</si>
  <si>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</si>
  <si>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</si>
  <si>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</si>
  <si>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</si>
  <si>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</si>
  <si>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</si>
  <si>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</si>
  <si>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</si>
  <si>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</si>
  <si>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</si>
  <si>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</si>
  <si>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Тип погашения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</si>
  <si>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</si>
  <si>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</si>
  <si>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</si>
  <si>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</si>
  <si>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</si>
  <si>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</si>
  <si>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</si>
  <si>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</si>
  <si>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</si>
  <si>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Заполняемость групп</t>
  </si>
  <si>
    <t>2014 - 2018</t>
  </si>
  <si>
    <t>Показатель\Год</t>
  </si>
  <si>
    <t>Продажи, тыс.тг.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</si>
  <si>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</si>
  <si>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</si>
  <si>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</si>
  <si>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</si>
  <si>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</si>
  <si>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</si>
  <si>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</si>
  <si>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Поставка оборудования и инвентаря</t>
  </si>
  <si>
    <t>56,48 тг. за 1 м3 (водоснабжение), 40,88 тг/м3 (канализация)</t>
  </si>
  <si>
    <t>100 м3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</si>
  <si>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</si>
  <si>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</si>
  <si>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</si>
  <si>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</si>
  <si>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с учетом заполняемости</t>
  </si>
  <si>
    <t>Мегалайн</t>
  </si>
  <si>
    <t>Годовая прибыль (5 год), тыс.тг.</t>
  </si>
  <si>
    <t>Величина налоговых поступлений за 7 лет, тыс.тг.</t>
  </si>
  <si>
    <t>Налог на прибыль</t>
  </si>
  <si>
    <t>Налоги и обязательные платежи от ФОТ</t>
  </si>
  <si>
    <t>Вид налога</t>
  </si>
  <si>
    <t>Сумма, тыс.тг.</t>
  </si>
  <si>
    <t>Расходы, тыс.тг.</t>
  </si>
  <si>
    <t>Источник финансирования, тыс.тг.</t>
  </si>
  <si>
    <t>Доля основных средств в стоимости активов</t>
  </si>
  <si>
    <t>Кровати двухярусные</t>
  </si>
  <si>
    <t>Кровати обычные</t>
  </si>
  <si>
    <t>Стиральные машины</t>
  </si>
  <si>
    <t>01-06.2012</t>
  </si>
  <si>
    <t>540 м2</t>
  </si>
  <si>
    <t>4,5 м2 на ребенка * 1607 тг/м2 без НДС, 1 800 тг/м2 с НДС</t>
  </si>
  <si>
    <t>Расходы на питание и предметы личной гигиены на 1 ребенка в мес., с НДС</t>
  </si>
  <si>
    <t>Бухгалтер-кассир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</si>
</sst>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35" borderId="10" xfId="70" applyNumberFormat="1" applyFont="1" applyFill="1" applyBorder="1" applyAlignment="1">
      <alignment horizontal="right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2" fillId="0" borderId="0" xfId="70" applyNumberFormat="1" applyFont="1" applyFill="1" applyBorder="1" applyAlignment="1">
      <alignment horizontal="left"/>
      <protection/>
    </xf>
    <xf numFmtId="9" fontId="62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64" fontId="63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169" fontId="21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3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1" fillId="0" borderId="0" xfId="53" applyAlignment="1" applyProtection="1">
      <alignment/>
      <protection/>
    </xf>
    <xf numFmtId="3" fontId="5" fillId="35" borderId="10" xfId="0" applyNumberFormat="1" applyFont="1" applyFill="1" applyBorder="1" applyAlignment="1">
      <alignment horizontal="right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66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3" fontId="16" fillId="2" borderId="11" xfId="67" applyNumberFormat="1" applyFont="1" applyFill="1" applyBorder="1" applyAlignment="1">
      <alignment horizontal="center" vertical="center"/>
      <protection/>
    </xf>
    <xf numFmtId="3" fontId="16" fillId="2" borderId="16" xfId="67" applyNumberFormat="1" applyFont="1" applyFill="1" applyBorder="1" applyAlignment="1">
      <alignment horizontal="center" vertical="center"/>
      <protection/>
    </xf>
    <xf numFmtId="3" fontId="16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carlo.ru/pricelist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42"/>
  <sheetViews>
    <sheetView showGridLines="0" showZeros="0" zoomScalePageLayoutView="0" workbookViewId="0" topLeftCell="A1">
      <pane xSplit="3" ySplit="6" topLeftCell="P31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48" sqref="AD48"/>
    </sheetView>
  </sheetViews>
  <sheetFormatPr defaultColWidth="8.625" defaultRowHeight="12.75" outlineLevelRow="1" outlineLevelCol="1"/>
  <cols>
    <col min="1" max="1" width="37.25390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4" width="7.875" style="8" bestFit="1" customWidth="1"/>
    <col min="35" max="41" width="8.75390625" style="8" bestFit="1" customWidth="1"/>
    <col min="42" max="16384" width="8.625" style="8" customWidth="1"/>
  </cols>
  <sheetData>
    <row r="1" spans="1:27" ht="12.75">
      <c r="A1" s="62" t="s">
        <v>253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19062.41507195748</v>
      </c>
      <c r="B2" s="10">
        <f>MIN(D35:AH35)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267" t="s">
        <v>3</v>
      </c>
      <c r="B5" s="269" t="s">
        <v>1</v>
      </c>
      <c r="C5" s="15"/>
      <c r="D5" s="269">
        <v>2012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>
        <v>2013</v>
      </c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 ht="12.75">
      <c r="A6" s="268"/>
      <c r="B6" s="269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148</v>
      </c>
      <c r="AE6" s="15" t="s">
        <v>148</v>
      </c>
      <c r="AF6" s="15" t="s">
        <v>148</v>
      </c>
      <c r="AG6" s="15" t="s">
        <v>148</v>
      </c>
      <c r="AH6" s="15" t="s">
        <v>148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868.9781400000002</v>
      </c>
      <c r="K7" s="20">
        <f t="shared" si="2"/>
        <v>318.1488854872207</v>
      </c>
      <c r="L7" s="20">
        <f>K35</f>
        <v>42.59270622451325</v>
      </c>
      <c r="M7" s="20">
        <f>L35</f>
        <v>42.3096022118778</v>
      </c>
      <c r="N7" s="20">
        <f>M35</f>
        <v>145.8871205921715</v>
      </c>
      <c r="O7" s="20">
        <f>N35</f>
        <v>199.13780136539518</v>
      </c>
      <c r="P7" s="20">
        <f>D7</f>
        <v>0</v>
      </c>
      <c r="Q7" s="20">
        <f>P35</f>
        <v>254.06155738869043</v>
      </c>
      <c r="R7" s="20">
        <f aca="true" t="shared" si="3" ref="R7:AA7">Q35</f>
        <v>310.6583886620573</v>
      </c>
      <c r="S7" s="20">
        <f t="shared" si="3"/>
        <v>572.4997237569233</v>
      </c>
      <c r="T7" s="20">
        <f t="shared" si="3"/>
        <v>836.0141341018619</v>
      </c>
      <c r="U7" s="20">
        <f t="shared" si="3"/>
        <v>1101.2016196968723</v>
      </c>
      <c r="V7" s="20">
        <f t="shared" si="3"/>
        <v>1571.6336091133826</v>
      </c>
      <c r="W7" s="20">
        <f t="shared" si="3"/>
        <v>2043.7386737799645</v>
      </c>
      <c r="X7" s="20">
        <f t="shared" si="3"/>
        <v>2517.516813696618</v>
      </c>
      <c r="Y7" s="20">
        <f t="shared" si="3"/>
        <v>2992.9680288633444</v>
      </c>
      <c r="Z7" s="20">
        <f t="shared" si="3"/>
        <v>3470.0923192801424</v>
      </c>
      <c r="AA7" s="20">
        <f t="shared" si="3"/>
        <v>3948.8896849470116</v>
      </c>
      <c r="AB7" s="20">
        <f>AA35</f>
        <v>4376.532403978754</v>
      </c>
      <c r="AC7" s="20">
        <f>Q7</f>
        <v>254.06155738869043</v>
      </c>
      <c r="AD7" s="20">
        <f>AC35</f>
        <v>4749.3558681609275</v>
      </c>
      <c r="AE7" s="20">
        <f>AD35</f>
        <v>9327.637333951508</v>
      </c>
      <c r="AF7" s="20">
        <f>AE35</f>
        <v>14098.657068550354</v>
      </c>
      <c r="AG7" s="20">
        <f>AF35</f>
        <v>19062.41507195748</v>
      </c>
      <c r="AH7" s="20">
        <f>AG35</f>
        <v>24218.91134417287</v>
      </c>
    </row>
    <row r="8" spans="1:34" s="21" customFormat="1" ht="12.75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 ht="12.75">
      <c r="A9" s="26" t="s">
        <v>19</v>
      </c>
      <c r="B9" s="27">
        <f>P9+AC9+AD9+AE9+AF9+AG9+AH9</f>
        <v>470880</v>
      </c>
      <c r="C9" s="27"/>
      <c r="D9" s="27">
        <f aca="true" t="shared" si="4" ref="D9:AH9">SUM(D10:D11)</f>
        <v>0</v>
      </c>
      <c r="E9" s="27">
        <f t="shared" si="4"/>
        <v>0</v>
      </c>
      <c r="F9" s="27">
        <f t="shared" si="4"/>
        <v>0</v>
      </c>
      <c r="G9" s="27">
        <f t="shared" si="4"/>
        <v>3300.0000000000005</v>
      </c>
      <c r="H9" s="27">
        <f t="shared" si="4"/>
        <v>3600.0000000000005</v>
      </c>
      <c r="I9" s="27">
        <f t="shared" si="4"/>
        <v>3900</v>
      </c>
      <c r="J9" s="27">
        <f t="shared" si="4"/>
        <v>4200</v>
      </c>
      <c r="K9" s="27">
        <f t="shared" si="4"/>
        <v>4560</v>
      </c>
      <c r="L9" s="27">
        <f t="shared" si="4"/>
        <v>4920</v>
      </c>
      <c r="M9" s="27">
        <f t="shared" si="4"/>
        <v>5100</v>
      </c>
      <c r="N9" s="27">
        <f t="shared" si="4"/>
        <v>5400.000000000001</v>
      </c>
      <c r="O9" s="27">
        <f t="shared" si="4"/>
        <v>5400.000000000001</v>
      </c>
      <c r="P9" s="27">
        <f t="shared" si="4"/>
        <v>40380</v>
      </c>
      <c r="Q9" s="27">
        <f t="shared" si="4"/>
        <v>5400.000000000001</v>
      </c>
      <c r="R9" s="27">
        <f t="shared" si="4"/>
        <v>5700</v>
      </c>
      <c r="S9" s="27">
        <f t="shared" si="4"/>
        <v>5700</v>
      </c>
      <c r="T9" s="27">
        <f t="shared" si="4"/>
        <v>5700</v>
      </c>
      <c r="U9" s="27">
        <f t="shared" si="4"/>
        <v>6000</v>
      </c>
      <c r="V9" s="27">
        <f t="shared" si="4"/>
        <v>6000</v>
      </c>
      <c r="W9" s="27">
        <f t="shared" si="4"/>
        <v>6000</v>
      </c>
      <c r="X9" s="27">
        <f t="shared" si="4"/>
        <v>6000</v>
      </c>
      <c r="Y9" s="27">
        <f t="shared" si="4"/>
        <v>6000</v>
      </c>
      <c r="Z9" s="27">
        <f t="shared" si="4"/>
        <v>6000</v>
      </c>
      <c r="AA9" s="27">
        <f t="shared" si="4"/>
        <v>6000</v>
      </c>
      <c r="AB9" s="27">
        <f t="shared" si="4"/>
        <v>6000</v>
      </c>
      <c r="AC9" s="27">
        <f t="shared" si="4"/>
        <v>70500</v>
      </c>
      <c r="AD9" s="27">
        <f t="shared" si="4"/>
        <v>72000</v>
      </c>
      <c r="AE9" s="27">
        <f t="shared" si="4"/>
        <v>72000</v>
      </c>
      <c r="AF9" s="27">
        <f t="shared" si="4"/>
        <v>72000</v>
      </c>
      <c r="AG9" s="27">
        <f t="shared" si="4"/>
        <v>72000</v>
      </c>
      <c r="AH9" s="27">
        <f t="shared" si="4"/>
        <v>72000</v>
      </c>
    </row>
    <row r="10" spans="1:34" ht="12.75">
      <c r="A10" s="28" t="s">
        <v>210</v>
      </c>
      <c r="B10" s="27">
        <f aca="true" t="shared" si="5" ref="B10:B17">P10+AC10+AD10+AE10+AF10+AG10+AH10</f>
        <v>470880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3300.0000000000005</v>
      </c>
      <c r="H10" s="29">
        <f>'2-ф2'!H6*Исх!$C$18</f>
        <v>3600.0000000000005</v>
      </c>
      <c r="I10" s="29">
        <f>'2-ф2'!I6*Исх!$C$18</f>
        <v>3900</v>
      </c>
      <c r="J10" s="29">
        <f>'2-ф2'!J6*Исх!$C$18</f>
        <v>4200</v>
      </c>
      <c r="K10" s="29">
        <f>'2-ф2'!K6*Исх!$C$18</f>
        <v>4560</v>
      </c>
      <c r="L10" s="29">
        <f>'2-ф2'!L6*Исх!$C$18</f>
        <v>4920</v>
      </c>
      <c r="M10" s="29">
        <f>'2-ф2'!M6*Исх!$C$18</f>
        <v>5100</v>
      </c>
      <c r="N10" s="29">
        <f>'2-ф2'!N6*Исх!$C$18</f>
        <v>5400.000000000001</v>
      </c>
      <c r="O10" s="29">
        <f>'2-ф2'!O6*Исх!$C$18</f>
        <v>5400.000000000001</v>
      </c>
      <c r="P10" s="27">
        <f>SUM(D10:O10)</f>
        <v>40380</v>
      </c>
      <c r="Q10" s="29">
        <f>'2-ф2'!Q6*Исх!$C$18</f>
        <v>5400.000000000001</v>
      </c>
      <c r="R10" s="29">
        <f>'2-ф2'!R6*Исх!$C$18</f>
        <v>5700</v>
      </c>
      <c r="S10" s="29">
        <f>'2-ф2'!S6*Исх!$C$18</f>
        <v>5700</v>
      </c>
      <c r="T10" s="29">
        <f>'2-ф2'!T6*Исх!$C$18</f>
        <v>5700</v>
      </c>
      <c r="U10" s="29">
        <f>'2-ф2'!U6*Исх!$C$18</f>
        <v>6000</v>
      </c>
      <c r="V10" s="29">
        <f>'2-ф2'!V6*Исх!$C$18</f>
        <v>6000</v>
      </c>
      <c r="W10" s="29">
        <f>'2-ф2'!W6*Исх!$C$18</f>
        <v>6000</v>
      </c>
      <c r="X10" s="29">
        <f>'2-ф2'!X6*Исх!$C$18</f>
        <v>6000</v>
      </c>
      <c r="Y10" s="29">
        <f>'2-ф2'!Y6*Исх!$C$18</f>
        <v>6000</v>
      </c>
      <c r="Z10" s="29">
        <f>'2-ф2'!Z6*Исх!$C$18</f>
        <v>6000</v>
      </c>
      <c r="AA10" s="29">
        <f>'2-ф2'!AA6*Исх!$C$18</f>
        <v>6000</v>
      </c>
      <c r="AB10" s="29">
        <f>'2-ф2'!AB6*Исх!$C$18</f>
        <v>6000</v>
      </c>
      <c r="AC10" s="27">
        <f>SUM(Q10:AB10)</f>
        <v>70500</v>
      </c>
      <c r="AD10" s="29">
        <f>'2-ф2'!AD6*Исх!$C$18</f>
        <v>72000</v>
      </c>
      <c r="AE10" s="29">
        <f>'2-ф2'!AE6*Исх!$C$18</f>
        <v>72000</v>
      </c>
      <c r="AF10" s="29">
        <f>'2-ф2'!AF6*Исх!$C$18</f>
        <v>72000</v>
      </c>
      <c r="AG10" s="29">
        <f>'2-ф2'!AG6*Исх!$C$18</f>
        <v>72000</v>
      </c>
      <c r="AH10" s="29">
        <f>'2-ф2'!AH6*Исх!$C$18</f>
        <v>72000</v>
      </c>
    </row>
    <row r="11" spans="1:34" ht="12.75">
      <c r="A11" s="28"/>
      <c r="B11" s="27">
        <f t="shared" si="5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</row>
    <row r="12" spans="1:34" s="21" customFormat="1" ht="12.75">
      <c r="A12" s="30" t="s">
        <v>6</v>
      </c>
      <c r="B12" s="27">
        <f t="shared" si="5"/>
        <v>432265.91088424344</v>
      </c>
      <c r="C12" s="27"/>
      <c r="D12" s="31">
        <f aca="true" t="shared" si="6" ref="D12:AH12">SUM(D13:D17)</f>
        <v>0</v>
      </c>
      <c r="E12" s="31">
        <f t="shared" si="6"/>
        <v>0</v>
      </c>
      <c r="F12" s="31">
        <f t="shared" si="6"/>
        <v>1007.9999999999999</v>
      </c>
      <c r="G12" s="31">
        <f t="shared" si="6"/>
        <v>4237.02186</v>
      </c>
      <c r="H12" s="31">
        <f t="shared" si="6"/>
        <v>4309.02186</v>
      </c>
      <c r="I12" s="31">
        <f t="shared" si="6"/>
        <v>4381.02186</v>
      </c>
      <c r="J12" s="31">
        <f t="shared" si="6"/>
        <v>4583.5217295056</v>
      </c>
      <c r="K12" s="31">
        <f t="shared" si="6"/>
        <v>4668.248654255528</v>
      </c>
      <c r="L12" s="31">
        <f t="shared" si="6"/>
        <v>4752.975579005456</v>
      </c>
      <c r="M12" s="31">
        <f t="shared" si="6"/>
        <v>4829.114956612527</v>
      </c>
      <c r="N12" s="31">
        <f t="shared" si="6"/>
        <v>5179.441794219598</v>
      </c>
      <c r="O12" s="31">
        <f t="shared" si="6"/>
        <v>5177.768718969526</v>
      </c>
      <c r="P12" s="31">
        <f t="shared" si="6"/>
        <v>43126.137012568244</v>
      </c>
      <c r="Q12" s="31">
        <f t="shared" si="6"/>
        <v>5176.0956437194545</v>
      </c>
      <c r="R12" s="31">
        <f t="shared" si="6"/>
        <v>5270.851139897954</v>
      </c>
      <c r="S12" s="31">
        <f t="shared" si="6"/>
        <v>5269.178064647882</v>
      </c>
      <c r="T12" s="31">
        <f t="shared" si="6"/>
        <v>5267.50498939781</v>
      </c>
      <c r="U12" s="31">
        <f t="shared" si="6"/>
        <v>5362.26048557631</v>
      </c>
      <c r="V12" s="31">
        <f t="shared" si="6"/>
        <v>5360.587410326239</v>
      </c>
      <c r="W12" s="31">
        <f t="shared" si="6"/>
        <v>5358.914335076167</v>
      </c>
      <c r="X12" s="31">
        <f t="shared" si="6"/>
        <v>5357.241259826094</v>
      </c>
      <c r="Y12" s="31">
        <f t="shared" si="6"/>
        <v>5355.568184576023</v>
      </c>
      <c r="Z12" s="31">
        <f t="shared" si="6"/>
        <v>5353.895109325951</v>
      </c>
      <c r="AA12" s="31">
        <f t="shared" si="6"/>
        <v>5405.0497559610785</v>
      </c>
      <c r="AB12" s="31">
        <f t="shared" si="6"/>
        <v>5459.869010810647</v>
      </c>
      <c r="AC12" s="31">
        <f t="shared" si="6"/>
        <v>63997.01538914161</v>
      </c>
      <c r="AD12" s="31">
        <f t="shared" si="6"/>
        <v>65414.02823412327</v>
      </c>
      <c r="AE12" s="31">
        <f t="shared" si="6"/>
        <v>65221.289965315</v>
      </c>
      <c r="AF12" s="31">
        <f t="shared" si="6"/>
        <v>65028.55169650672</v>
      </c>
      <c r="AG12" s="31">
        <f t="shared" si="6"/>
        <v>64835.81342769846</v>
      </c>
      <c r="AH12" s="31">
        <f t="shared" si="6"/>
        <v>64643.075158890184</v>
      </c>
    </row>
    <row r="13" spans="1:34" ht="12.75">
      <c r="A13" s="28" t="s">
        <v>208</v>
      </c>
      <c r="B13" s="27">
        <f t="shared" si="5"/>
        <v>114019.2</v>
      </c>
      <c r="C13" s="32"/>
      <c r="D13" s="29">
        <f>'2-ф2'!D9*Исх!$C$18</f>
        <v>0</v>
      </c>
      <c r="E13" s="29">
        <f>'2-ф2'!E9*Исх!$C$18</f>
        <v>0</v>
      </c>
      <c r="F13" s="33">
        <f>J13*1</f>
        <v>1007.9999999999999</v>
      </c>
      <c r="G13" s="29">
        <f>'2-ф2'!G9*Исх!$C$18</f>
        <v>792</v>
      </c>
      <c r="H13" s="29">
        <f>'2-ф2'!H9*Исх!$C$18</f>
        <v>864</v>
      </c>
      <c r="I13" s="29">
        <f>'2-ф2'!I9*Исх!$C$18</f>
        <v>936</v>
      </c>
      <c r="J13" s="29">
        <f>'2-ф2'!J9*Исх!$C$18</f>
        <v>1007.9999999999999</v>
      </c>
      <c r="K13" s="29">
        <f>'2-ф2'!K9*Исх!$C$18</f>
        <v>1094.3999999999999</v>
      </c>
      <c r="L13" s="29">
        <f>'2-ф2'!L9*Исх!$C$18</f>
        <v>1180.7999999999997</v>
      </c>
      <c r="M13" s="29">
        <f>'2-ф2'!M9*Исх!$C$18</f>
        <v>1224</v>
      </c>
      <c r="N13" s="29">
        <f>'2-ф2'!N9*Исх!$C$18</f>
        <v>1296</v>
      </c>
      <c r="O13" s="29">
        <f>'2-ф2'!O9*Исх!$C$18</f>
        <v>1296</v>
      </c>
      <c r="P13" s="27">
        <f>SUM(D13:O13)</f>
        <v>10699.199999999999</v>
      </c>
      <c r="Q13" s="29">
        <f>'2-ф2'!Q9*Исх!$C$18</f>
        <v>1296</v>
      </c>
      <c r="R13" s="29">
        <f>'2-ф2'!R9*Исх!$C$18</f>
        <v>1367.9999999999998</v>
      </c>
      <c r="S13" s="29">
        <f>'2-ф2'!S9*Исх!$C$18</f>
        <v>1367.9999999999998</v>
      </c>
      <c r="T13" s="29">
        <f>'2-ф2'!T9*Исх!$C$18</f>
        <v>1367.9999999999998</v>
      </c>
      <c r="U13" s="29">
        <f>'2-ф2'!U9*Исх!$C$18</f>
        <v>1440</v>
      </c>
      <c r="V13" s="29">
        <f>'2-ф2'!V9*Исх!$C$18</f>
        <v>1440</v>
      </c>
      <c r="W13" s="29">
        <f>'2-ф2'!W9*Исх!$C$18</f>
        <v>1440</v>
      </c>
      <c r="X13" s="29">
        <f>'2-ф2'!X9*Исх!$C$18</f>
        <v>1440</v>
      </c>
      <c r="Y13" s="29">
        <f>'2-ф2'!Y9*Исх!$C$18</f>
        <v>1440</v>
      </c>
      <c r="Z13" s="29">
        <f>'2-ф2'!Z9*Исх!$C$18</f>
        <v>1440</v>
      </c>
      <c r="AA13" s="29">
        <f>'2-ф2'!AA9*Исх!$C$18</f>
        <v>1440</v>
      </c>
      <c r="AB13" s="29">
        <f>'2-ф2'!AB9*Исх!$C$18</f>
        <v>1440</v>
      </c>
      <c r="AC13" s="27">
        <f>SUM(Q13:AB13)</f>
        <v>16920</v>
      </c>
      <c r="AD13" s="29">
        <f>'2-ф2'!AD9*Исх!$C$18</f>
        <v>17280</v>
      </c>
      <c r="AE13" s="29">
        <f>'2-ф2'!AE9*Исх!$C$18</f>
        <v>17280</v>
      </c>
      <c r="AF13" s="29">
        <f>'2-ф2'!AF9*Исх!$C$18</f>
        <v>17280</v>
      </c>
      <c r="AG13" s="29">
        <f>'2-ф2'!AG9*Исх!$C$18</f>
        <v>17280</v>
      </c>
      <c r="AH13" s="29">
        <f>'2-ф2'!AH9*Исх!$C$18</f>
        <v>17280</v>
      </c>
    </row>
    <row r="14" spans="1:34" ht="12.75">
      <c r="A14" s="28" t="s">
        <v>209</v>
      </c>
      <c r="B14" s="27">
        <f t="shared" si="5"/>
        <v>279046.7706599999</v>
      </c>
      <c r="C14" s="27"/>
      <c r="D14" s="29"/>
      <c r="E14" s="29"/>
      <c r="F14" s="29"/>
      <c r="G14" s="29">
        <f>(Пост!$C$19-Пост!$C$6)*Исх!$C$18+Пост!$C$6+Пост!$C$21+Пост!$C$24</f>
        <v>3445.02186</v>
      </c>
      <c r="H14" s="29">
        <f>(Пост!$C$19-Пост!$C$6)*Исх!$C$18+Пост!$C$6+Пост!$C$21+Пост!$C$24</f>
        <v>3445.02186</v>
      </c>
      <c r="I14" s="29">
        <f>(Пост!$C$19-Пост!$C$6)*Исх!$C$18+Пост!$C$6+Пост!$C$21+Пост!$C$24</f>
        <v>3445.02186</v>
      </c>
      <c r="J14" s="29">
        <f>(Пост!$C$19-Пост!$C$6)*Исх!$C$18+Пост!$C$6+Пост!$C$21+Пост!$C$24</f>
        <v>3445.02186</v>
      </c>
      <c r="K14" s="29">
        <f>(Пост!$C$19-Пост!$C$6)*Исх!$C$18+Пост!$C$6+Пост!$C$21+Пост!$C$24</f>
        <v>3445.02186</v>
      </c>
      <c r="L14" s="29">
        <f>(Пост!$C$19-Пост!$C$6)*Исх!$C$18+Пост!$C$6+Пост!$C$21+Пост!$C$24</f>
        <v>3445.02186</v>
      </c>
      <c r="M14" s="29">
        <f>(Пост!$C$19-Пост!$C$6)*Исх!$C$18+Пост!$C$6+Пост!$C$21+Пост!$C$24</f>
        <v>3445.02186</v>
      </c>
      <c r="N14" s="29">
        <f>(Пост!$C$19-Пост!$C$6)*Исх!$C$18+Пост!$C$6+Пост!$C$21+Пост!$C$24</f>
        <v>3445.02186</v>
      </c>
      <c r="O14" s="29">
        <f>(Пост!$C$19-Пост!$C$6)*Исх!$C$18+Пост!$C$6+Пост!$C$21+Пост!$C$24</f>
        <v>3445.02186</v>
      </c>
      <c r="P14" s="27">
        <f>SUM(D14:O14)</f>
        <v>31005.196740000003</v>
      </c>
      <c r="Q14" s="29">
        <f>(Пост!$D$19-Пост!$D$6)*Исх!$C$18+Пост!$D$6+Пост!$D$21+Пост!$D$24</f>
        <v>3445.02186</v>
      </c>
      <c r="R14" s="29">
        <f>(Пост!$D$19-Пост!$D$6)*Исх!$C$18+Пост!$D$6+Пост!$D$21+Пост!$D$24</f>
        <v>3445.02186</v>
      </c>
      <c r="S14" s="29">
        <f>(Пост!$D$19-Пост!$D$6)*Исх!$C$18+Пост!$D$6+Пост!$D$21+Пост!$D$24</f>
        <v>3445.02186</v>
      </c>
      <c r="T14" s="29">
        <f>(Пост!$D$19-Пост!$D$6)*Исх!$C$18+Пост!$D$6+Пост!$D$21+Пост!$D$24</f>
        <v>3445.02186</v>
      </c>
      <c r="U14" s="29">
        <f>(Пост!$D$19-Пост!$D$6)*Исх!$C$18+Пост!$D$6+Пост!$D$21+Пост!$D$24</f>
        <v>3445.02186</v>
      </c>
      <c r="V14" s="29">
        <f>(Пост!$D$19-Пост!$D$6)*Исх!$C$18+Пост!$D$6+Пост!$D$21+Пост!$D$24</f>
        <v>3445.02186</v>
      </c>
      <c r="W14" s="29">
        <f>(Пост!$D$19-Пост!$D$6)*Исх!$C$18+Пост!$D$6+Пост!$D$21+Пост!$D$24</f>
        <v>3445.02186</v>
      </c>
      <c r="X14" s="29">
        <f>(Пост!$D$19-Пост!$D$6)*Исх!$C$18+Пост!$D$6+Пост!$D$21+Пост!$D$24</f>
        <v>3445.02186</v>
      </c>
      <c r="Y14" s="29">
        <f>(Пост!$D$19-Пост!$D$6)*Исх!$C$18+Пост!$D$6+Пост!$D$21+Пост!$D$24</f>
        <v>3445.02186</v>
      </c>
      <c r="Z14" s="29">
        <f>(Пост!$D$19-Пост!$D$6)*Исх!$C$18+Пост!$D$6+Пост!$D$21+Пост!$D$24</f>
        <v>3445.02186</v>
      </c>
      <c r="AA14" s="29">
        <f>(Пост!$D$19-Пост!$D$6)*Исх!$C$18+Пост!$D$6+Пост!$D$21+Пост!$D$24</f>
        <v>3445.02186</v>
      </c>
      <c r="AB14" s="29">
        <f>(Пост!$D$19-Пост!$D$6)*Исх!$C$18+Пост!$D$6+Пост!$D$21+Пост!$D$24</f>
        <v>3445.02186</v>
      </c>
      <c r="AC14" s="27">
        <f>SUM(Q14:AB14)</f>
        <v>41340.26232</v>
      </c>
      <c r="AD14" s="29">
        <f>((Пост!E19-Пост!E6)*Исх!$C$18+Пост!E6+Пост!E21+Пост!E24)*12</f>
        <v>41340.262319999994</v>
      </c>
      <c r="AE14" s="29">
        <f>((Пост!F19-Пост!F6)*Исх!$C$18+Пост!F6+Пост!F21+Пост!F24)*12</f>
        <v>41340.262319999994</v>
      </c>
      <c r="AF14" s="29">
        <f>((Пост!G19-Пост!G6)*Исх!$C$18+Пост!G6+Пост!G21+Пост!G24)*12</f>
        <v>41340.262319999994</v>
      </c>
      <c r="AG14" s="29">
        <f>((Пост!H19-Пост!H6)*Исх!$C$18+Пост!H6+Пост!H21+Пост!H24)*12</f>
        <v>41340.262319999994</v>
      </c>
      <c r="AH14" s="29">
        <f>((Пост!I19-Пост!I6)*Исх!$C$18+Пост!I6+Пост!I21+Пост!I24)*12</f>
        <v>41340.262319999994</v>
      </c>
    </row>
    <row r="15" spans="1:34" ht="12.75">
      <c r="A15" s="28" t="s">
        <v>59</v>
      </c>
      <c r="B15" s="27">
        <f t="shared" si="5"/>
        <v>5154.744845471192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0</v>
      </c>
      <c r="J15" s="29">
        <f>кр!I11</f>
        <v>130.49986950559997</v>
      </c>
      <c r="K15" s="29">
        <f>кр!J11</f>
        <v>128.82679425552817</v>
      </c>
      <c r="L15" s="29">
        <f>кр!K11</f>
        <v>127.15371900545638</v>
      </c>
      <c r="M15" s="29">
        <f>кр!L11</f>
        <v>125.48064375538458</v>
      </c>
      <c r="N15" s="29">
        <f>кр!M11</f>
        <v>123.8075685053128</v>
      </c>
      <c r="O15" s="29">
        <f>кр!N11</f>
        <v>122.134493255241</v>
      </c>
      <c r="P15" s="27">
        <f>SUM(D15:O15)</f>
        <v>757.9030882825228</v>
      </c>
      <c r="Q15" s="29">
        <f>кр!P11</f>
        <v>120.4614180051692</v>
      </c>
      <c r="R15" s="29">
        <f>кр!Q11</f>
        <v>118.7883427550974</v>
      </c>
      <c r="S15" s="29">
        <f>кр!R11</f>
        <v>117.1152675050256</v>
      </c>
      <c r="T15" s="29">
        <f>кр!S11</f>
        <v>115.4421922549538</v>
      </c>
      <c r="U15" s="29">
        <f>кр!T11</f>
        <v>113.769117004882</v>
      </c>
      <c r="V15" s="29">
        <f>кр!U11</f>
        <v>112.0960417548102</v>
      </c>
      <c r="W15" s="29">
        <f>кр!V11</f>
        <v>110.4229665047384</v>
      </c>
      <c r="X15" s="29">
        <f>кр!W11</f>
        <v>108.74989125466662</v>
      </c>
      <c r="Y15" s="29">
        <f>кр!X11</f>
        <v>107.07681600459482</v>
      </c>
      <c r="Z15" s="29">
        <f>кр!Y11</f>
        <v>105.40374075452303</v>
      </c>
      <c r="AA15" s="29">
        <f>кр!Z11</f>
        <v>103.73066550445122</v>
      </c>
      <c r="AB15" s="29">
        <f>кр!AA11</f>
        <v>102.05759025437942</v>
      </c>
      <c r="AC15" s="27">
        <f>SUM(Q15:AB15)</f>
        <v>1335.1140495572918</v>
      </c>
      <c r="AD15" s="34">
        <f>кр!AO11</f>
        <v>1094.191213546953</v>
      </c>
      <c r="AE15" s="34">
        <f>кр!BB11</f>
        <v>853.268377536614</v>
      </c>
      <c r="AF15" s="34">
        <f>кр!BO11</f>
        <v>612.3455415262754</v>
      </c>
      <c r="AG15" s="34">
        <f>кр!CB11</f>
        <v>371.4227055159369</v>
      </c>
      <c r="AH15" s="34">
        <f>кр!CO11</f>
        <v>130.4998695055986</v>
      </c>
    </row>
    <row r="16" spans="1:34" ht="12.75">
      <c r="A16" s="28" t="s">
        <v>20</v>
      </c>
      <c r="B16" s="27">
        <f t="shared" si="5"/>
        <v>7333.696434486614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0</v>
      </c>
      <c r="H16" s="29">
        <f>'2-ф2'!H16</f>
        <v>0</v>
      </c>
      <c r="I16" s="29">
        <f>'2-ф2'!I16</f>
        <v>0</v>
      </c>
      <c r="J16" s="29">
        <f>'2-ф2'!J16</f>
        <v>0</v>
      </c>
      <c r="K16" s="29">
        <f>'2-ф2'!K16</f>
        <v>0</v>
      </c>
      <c r="L16" s="29">
        <f>'2-ф2'!L16</f>
        <v>0</v>
      </c>
      <c r="M16" s="29">
        <f>'2-ф2'!M16</f>
        <v>0</v>
      </c>
      <c r="N16" s="29">
        <f>'2-ф2'!N16</f>
        <v>0</v>
      </c>
      <c r="O16" s="29">
        <f>'2-ф2'!O16</f>
        <v>0</v>
      </c>
      <c r="P16" s="27">
        <f>SUM(D16:O16)</f>
        <v>0</v>
      </c>
      <c r="Q16" s="29">
        <f>'2-ф2'!Q16</f>
        <v>0</v>
      </c>
      <c r="R16" s="29">
        <f>'2-ф2'!R16</f>
        <v>0</v>
      </c>
      <c r="S16" s="29">
        <f>'2-ф2'!S16</f>
        <v>0</v>
      </c>
      <c r="T16" s="29">
        <f>'2-ф2'!T16</f>
        <v>0</v>
      </c>
      <c r="U16" s="29">
        <f>'2-ф2'!U16</f>
        <v>0</v>
      </c>
      <c r="V16" s="29">
        <f>'2-ф2'!V16</f>
        <v>0</v>
      </c>
      <c r="W16" s="29">
        <f>'2-ф2'!W16</f>
        <v>0</v>
      </c>
      <c r="X16" s="29">
        <f>'2-ф2'!X16</f>
        <v>0</v>
      </c>
      <c r="Y16" s="29">
        <f>'2-ф2'!Y16</f>
        <v>0</v>
      </c>
      <c r="Z16" s="29">
        <f>'2-ф2'!Z16</f>
        <v>0</v>
      </c>
      <c r="AA16" s="29">
        <f>'2-ф2'!AA16</f>
        <v>52.82772188519923</v>
      </c>
      <c r="AB16" s="29">
        <f>'2-ф2'!AB16</f>
        <v>109.32005198483844</v>
      </c>
      <c r="AC16" s="27">
        <f>SUM(Q16:AB16)</f>
        <v>162.14777387003767</v>
      </c>
      <c r="AD16" s="29">
        <f>'2-ф2'!AD16</f>
        <v>1337.94059771918</v>
      </c>
      <c r="AE16" s="29">
        <f>'2-ф2'!AE16</f>
        <v>1386.1251649212477</v>
      </c>
      <c r="AF16" s="29">
        <f>'2-ф2'!AF16</f>
        <v>1434.3097321233154</v>
      </c>
      <c r="AG16" s="29">
        <f>'2-ф2'!AG16</f>
        <v>1482.494299325383</v>
      </c>
      <c r="AH16" s="29">
        <f>'2-ф2'!AH16</f>
        <v>1530.6788665274507</v>
      </c>
    </row>
    <row r="17" spans="1:34" ht="12.75">
      <c r="A17" s="28" t="s">
        <v>38</v>
      </c>
      <c r="B17" s="27">
        <f t="shared" si="5"/>
        <v>26711.49894428571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34.61245285714301</v>
      </c>
      <c r="N17" s="29">
        <f>'2-ф2'!N31</f>
        <v>314.6123657142857</v>
      </c>
      <c r="O17" s="29">
        <f>'2-ф2'!O31</f>
        <v>314.6123657142857</v>
      </c>
      <c r="P17" s="27">
        <f>SUM(D17:O17)</f>
        <v>663.8371842857144</v>
      </c>
      <c r="Q17" s="29">
        <f>'2-ф2'!Q31</f>
        <v>314.6123657142857</v>
      </c>
      <c r="R17" s="29">
        <f>'2-ф2'!R31</f>
        <v>339.0409371428571</v>
      </c>
      <c r="S17" s="29">
        <f>'2-ф2'!S31</f>
        <v>339.0409371428571</v>
      </c>
      <c r="T17" s="29">
        <f>'2-ф2'!T31</f>
        <v>339.0409371428571</v>
      </c>
      <c r="U17" s="29">
        <f>'2-ф2'!U31</f>
        <v>363.46950857142855</v>
      </c>
      <c r="V17" s="29">
        <f>'2-ф2'!V31</f>
        <v>363.46950857142855</v>
      </c>
      <c r="W17" s="29">
        <f>'2-ф2'!W31</f>
        <v>363.46950857142855</v>
      </c>
      <c r="X17" s="29">
        <f>'2-ф2'!X31</f>
        <v>363.46950857142855</v>
      </c>
      <c r="Y17" s="29">
        <f>'2-ф2'!Y31</f>
        <v>363.46950857142855</v>
      </c>
      <c r="Z17" s="29">
        <f>'2-ф2'!Z31</f>
        <v>363.46950857142855</v>
      </c>
      <c r="AA17" s="29">
        <f>'2-ф2'!AA31</f>
        <v>363.46950857142855</v>
      </c>
      <c r="AB17" s="29">
        <f>'2-ф2'!AB31</f>
        <v>363.46950857142855</v>
      </c>
      <c r="AC17" s="27">
        <f>SUM(Q17:AB17)</f>
        <v>4239.491245714285</v>
      </c>
      <c r="AD17" s="29">
        <f>'2-ф2'!AD31</f>
        <v>4361.634102857142</v>
      </c>
      <c r="AE17" s="29">
        <f>'2-ф2'!AE31</f>
        <v>4361.634102857142</v>
      </c>
      <c r="AF17" s="29">
        <f>'2-ф2'!AF31</f>
        <v>4361.634102857142</v>
      </c>
      <c r="AG17" s="29">
        <f>'2-ф2'!AG31</f>
        <v>4361.634102857142</v>
      </c>
      <c r="AH17" s="29">
        <f>'2-ф2'!AH31</f>
        <v>4361.634102857142</v>
      </c>
    </row>
    <row r="18" spans="1:34" s="21" customFormat="1" ht="25.5">
      <c r="A18" s="35" t="s">
        <v>21</v>
      </c>
      <c r="B18" s="18">
        <f>B9-B12</f>
        <v>38614.089115756564</v>
      </c>
      <c r="C18" s="18"/>
      <c r="D18" s="18">
        <f aca="true" t="shared" si="7" ref="D18:AH18">D9-D12</f>
        <v>0</v>
      </c>
      <c r="E18" s="18">
        <f t="shared" si="7"/>
        <v>0</v>
      </c>
      <c r="F18" s="18">
        <f t="shared" si="7"/>
        <v>-1007.9999999999999</v>
      </c>
      <c r="G18" s="18">
        <f t="shared" si="7"/>
        <v>-937.0218599999994</v>
      </c>
      <c r="H18" s="18">
        <f t="shared" si="7"/>
        <v>-709.0218599999994</v>
      </c>
      <c r="I18" s="18">
        <f t="shared" si="7"/>
        <v>-481.02185999999983</v>
      </c>
      <c r="J18" s="18">
        <f t="shared" si="7"/>
        <v>-383.5217295056</v>
      </c>
      <c r="K18" s="18">
        <f t="shared" si="7"/>
        <v>-108.24865425552798</v>
      </c>
      <c r="L18" s="18">
        <f t="shared" si="7"/>
        <v>167.02442099454402</v>
      </c>
      <c r="M18" s="18">
        <f t="shared" si="7"/>
        <v>270.88504338747316</v>
      </c>
      <c r="N18" s="18">
        <f t="shared" si="7"/>
        <v>220.5582057804031</v>
      </c>
      <c r="O18" s="18">
        <f t="shared" si="7"/>
        <v>222.23128103047475</v>
      </c>
      <c r="P18" s="18">
        <f t="shared" si="7"/>
        <v>-2746.1370125682442</v>
      </c>
      <c r="Q18" s="18">
        <f t="shared" si="7"/>
        <v>223.90435628054638</v>
      </c>
      <c r="R18" s="18">
        <f t="shared" si="7"/>
        <v>429.14886010204555</v>
      </c>
      <c r="S18" s="18">
        <f t="shared" si="7"/>
        <v>430.8219353521181</v>
      </c>
      <c r="T18" s="18">
        <f t="shared" si="7"/>
        <v>432.4950106021897</v>
      </c>
      <c r="U18" s="18">
        <f t="shared" si="7"/>
        <v>637.7395144236898</v>
      </c>
      <c r="V18" s="18">
        <f t="shared" si="7"/>
        <v>639.4125896737614</v>
      </c>
      <c r="W18" s="18">
        <f t="shared" si="7"/>
        <v>641.0856649238331</v>
      </c>
      <c r="X18" s="18">
        <f t="shared" si="7"/>
        <v>642.7587401739056</v>
      </c>
      <c r="Y18" s="18">
        <f t="shared" si="7"/>
        <v>644.4318154239772</v>
      </c>
      <c r="Z18" s="18">
        <f t="shared" si="7"/>
        <v>646.1048906740489</v>
      </c>
      <c r="AA18" s="18">
        <f t="shared" si="7"/>
        <v>594.9502440389215</v>
      </c>
      <c r="AB18" s="18">
        <f t="shared" si="7"/>
        <v>540.1309891893534</v>
      </c>
      <c r="AC18" s="18">
        <f t="shared" si="7"/>
        <v>6502.984610858388</v>
      </c>
      <c r="AD18" s="18">
        <f t="shared" si="7"/>
        <v>6585.971765876733</v>
      </c>
      <c r="AE18" s="18">
        <f t="shared" si="7"/>
        <v>6778.710034684998</v>
      </c>
      <c r="AF18" s="18">
        <f t="shared" si="7"/>
        <v>6971.448303493278</v>
      </c>
      <c r="AG18" s="18">
        <f t="shared" si="7"/>
        <v>7164.1865723015435</v>
      </c>
      <c r="AH18" s="18">
        <f t="shared" si="7"/>
        <v>7356.924841109816</v>
      </c>
    </row>
    <row r="19" spans="1:34" s="21" customFormat="1" ht="12.75">
      <c r="A19" s="22" t="s">
        <v>22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6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6"/>
      <c r="AD19" s="36"/>
      <c r="AE19" s="36"/>
      <c r="AF19" s="36"/>
      <c r="AG19" s="36"/>
      <c r="AH19" s="36"/>
    </row>
    <row r="20" spans="1:34" s="21" customFormat="1" ht="12.75">
      <c r="A20" s="26" t="s">
        <v>7</v>
      </c>
      <c r="B20" s="27"/>
      <c r="C20" s="2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27"/>
      <c r="AD20" s="27"/>
      <c r="AE20" s="27"/>
      <c r="AF20" s="27"/>
      <c r="AG20" s="27"/>
      <c r="AH20" s="27"/>
    </row>
    <row r="21" spans="1:34" s="21" customFormat="1" ht="12.75">
      <c r="A21" s="26" t="s">
        <v>8</v>
      </c>
      <c r="B21" s="27">
        <f>P21+AC21+AD21+AE21+AF21+AG21+AH21</f>
        <v>13984.425000000001</v>
      </c>
      <c r="C21" s="27"/>
      <c r="D21" s="27">
        <f aca="true" t="shared" si="8" ref="D21:AC21">SUM(D22:D23)</f>
        <v>5442.212500000001</v>
      </c>
      <c r="E21" s="27">
        <f t="shared" si="8"/>
        <v>6992.212500000001</v>
      </c>
      <c r="F21" s="27">
        <f t="shared" si="8"/>
        <v>1550</v>
      </c>
      <c r="G21" s="27">
        <f t="shared" si="8"/>
        <v>0</v>
      </c>
      <c r="H21" s="27">
        <f>SUM(H22:H23)</f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7">
        <f t="shared" si="8"/>
        <v>0</v>
      </c>
      <c r="M21" s="27">
        <f t="shared" si="8"/>
        <v>0</v>
      </c>
      <c r="N21" s="27">
        <f t="shared" si="8"/>
        <v>0</v>
      </c>
      <c r="O21" s="27">
        <f t="shared" si="8"/>
        <v>0</v>
      </c>
      <c r="P21" s="27">
        <f t="shared" si="8"/>
        <v>13984.425000000001</v>
      </c>
      <c r="Q21" s="27">
        <f t="shared" si="8"/>
        <v>0</v>
      </c>
      <c r="R21" s="27">
        <f t="shared" si="8"/>
        <v>0</v>
      </c>
      <c r="S21" s="27">
        <f t="shared" si="8"/>
        <v>0</v>
      </c>
      <c r="T21" s="27">
        <f t="shared" si="8"/>
        <v>0</v>
      </c>
      <c r="U21" s="27">
        <f t="shared" si="8"/>
        <v>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0</v>
      </c>
      <c r="Z21" s="27">
        <f t="shared" si="8"/>
        <v>0</v>
      </c>
      <c r="AA21" s="27">
        <f t="shared" si="8"/>
        <v>0</v>
      </c>
      <c r="AB21" s="27">
        <f t="shared" si="8"/>
        <v>0</v>
      </c>
      <c r="AC21" s="27">
        <f t="shared" si="8"/>
        <v>0</v>
      </c>
      <c r="AD21" s="27">
        <f>SUM(AD22:AD23)</f>
        <v>0</v>
      </c>
      <c r="AE21" s="27">
        <f>SUM(AE22:AE23)</f>
        <v>0</v>
      </c>
      <c r="AF21" s="27">
        <f>SUM(AF22:AF23)</f>
        <v>0</v>
      </c>
      <c r="AG21" s="27">
        <f>SUM(AG22:AG23)</f>
        <v>0</v>
      </c>
      <c r="AH21" s="27">
        <f>SUM(AH22:AH23)</f>
        <v>0</v>
      </c>
    </row>
    <row r="22" spans="1:34" ht="12.75">
      <c r="A22" s="38" t="s">
        <v>23</v>
      </c>
      <c r="B22" s="27">
        <f>P22+AC22+AD22+AE22+AF22+AG22+AH22</f>
        <v>13984.425000000001</v>
      </c>
      <c r="C22" s="27"/>
      <c r="D22" s="29">
        <f>Инв!E30</f>
        <v>5442.212500000001</v>
      </c>
      <c r="E22" s="29">
        <f>Инв!F30</f>
        <v>6992.212500000001</v>
      </c>
      <c r="F22" s="29">
        <f>Инв!G30</f>
        <v>1550</v>
      </c>
      <c r="G22" s="29">
        <f>Инв!H30</f>
        <v>0</v>
      </c>
      <c r="H22" s="29">
        <f>Инв!I30</f>
        <v>0</v>
      </c>
      <c r="I22" s="29">
        <f>Инв!J30</f>
        <v>0</v>
      </c>
      <c r="J22" s="29">
        <f>Инв!K30</f>
        <v>0</v>
      </c>
      <c r="K22" s="29"/>
      <c r="L22" s="29">
        <f>Инв!M30</f>
        <v>0</v>
      </c>
      <c r="M22" s="29">
        <f>Инв!N30</f>
        <v>0</v>
      </c>
      <c r="N22" s="29">
        <f>Инв!O30</f>
        <v>0</v>
      </c>
      <c r="O22" s="29">
        <f>Инв!P30</f>
        <v>0</v>
      </c>
      <c r="P22" s="27">
        <f>SUM(D22:O22)</f>
        <v>13984.425000000001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</row>
    <row r="23" spans="1:34" ht="12.75" outlineLevel="1">
      <c r="A23" s="38"/>
      <c r="B23" s="27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</row>
    <row r="24" spans="1:34" s="21" customFormat="1" ht="25.5">
      <c r="A24" s="39" t="s">
        <v>24</v>
      </c>
      <c r="B24" s="18">
        <f>B20-B21</f>
        <v>-13984.425000000001</v>
      </c>
      <c r="C24" s="18"/>
      <c r="D24" s="18">
        <f>D20-D21</f>
        <v>-5442.212500000001</v>
      </c>
      <c r="E24" s="18">
        <f aca="true" t="shared" si="9" ref="E24:O24">E20-E21</f>
        <v>-6992.212500000001</v>
      </c>
      <c r="F24" s="18">
        <f t="shared" si="9"/>
        <v>-1550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18">
        <f>J20-J21</f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18">
        <f t="shared" si="9"/>
        <v>0</v>
      </c>
      <c r="O24" s="18">
        <f t="shared" si="9"/>
        <v>0</v>
      </c>
      <c r="P24" s="18">
        <f>SUM(D24:O24)</f>
        <v>-13984.425000000001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43" customFormat="1" ht="12.75">
      <c r="A25" s="40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2"/>
      <c r="AE25" s="42"/>
      <c r="AF25" s="42"/>
      <c r="AG25" s="42"/>
      <c r="AH25" s="42"/>
    </row>
    <row r="26" spans="1:34" s="21" customFormat="1" ht="12.75">
      <c r="A26" s="22" t="s">
        <v>26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6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6"/>
      <c r="AD26" s="36"/>
      <c r="AE26" s="36"/>
      <c r="AF26" s="36"/>
      <c r="AG26" s="36"/>
      <c r="AH26" s="36"/>
    </row>
    <row r="27" spans="1:34" s="21" customFormat="1" ht="12.75">
      <c r="A27" s="26" t="s">
        <v>7</v>
      </c>
      <c r="B27" s="27">
        <f>SUM(B28:B29)</f>
        <v>17988.468719999997</v>
      </c>
      <c r="C27" s="27"/>
      <c r="D27" s="27">
        <f>SUM(D28:D29)</f>
        <v>5442.212500000001</v>
      </c>
      <c r="E27" s="27">
        <f aca="true" t="shared" si="10" ref="E27:O27">SUM(E28:E29)</f>
        <v>6992.2125</v>
      </c>
      <c r="F27" s="27">
        <f t="shared" si="10"/>
        <v>2558</v>
      </c>
      <c r="G27" s="27">
        <f t="shared" si="10"/>
        <v>937.0218599999994</v>
      </c>
      <c r="H27" s="27">
        <f t="shared" si="10"/>
        <v>709.0218599999994</v>
      </c>
      <c r="I27" s="27">
        <f t="shared" si="10"/>
        <v>1350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aca="true" t="shared" si="11" ref="P27:AD27">SUM(P28:P29)</f>
        <v>17988.468719999997</v>
      </c>
      <c r="Q27" s="27">
        <f t="shared" si="11"/>
        <v>0</v>
      </c>
      <c r="R27" s="27">
        <f t="shared" si="11"/>
        <v>0</v>
      </c>
      <c r="S27" s="27">
        <f t="shared" si="11"/>
        <v>0</v>
      </c>
      <c r="T27" s="27">
        <f t="shared" si="11"/>
        <v>0</v>
      </c>
      <c r="U27" s="27">
        <f t="shared" si="11"/>
        <v>0</v>
      </c>
      <c r="V27" s="27">
        <f t="shared" si="11"/>
        <v>0</v>
      </c>
      <c r="W27" s="27">
        <f t="shared" si="11"/>
        <v>0</v>
      </c>
      <c r="X27" s="27">
        <f t="shared" si="11"/>
        <v>0</v>
      </c>
      <c r="Y27" s="27">
        <f t="shared" si="11"/>
        <v>0</v>
      </c>
      <c r="Z27" s="27">
        <f t="shared" si="11"/>
        <v>0</v>
      </c>
      <c r="AA27" s="27">
        <f t="shared" si="11"/>
        <v>0</v>
      </c>
      <c r="AB27" s="27">
        <f t="shared" si="11"/>
        <v>0</v>
      </c>
      <c r="AC27" s="27">
        <f t="shared" si="11"/>
        <v>0</v>
      </c>
      <c r="AD27" s="27">
        <f t="shared" si="11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</row>
    <row r="28" spans="1:34" ht="12.75" customHeight="1">
      <c r="A28" s="38" t="s">
        <v>61</v>
      </c>
      <c r="B28" s="27">
        <f>P28+AC28+AD28+AE28+AF28+AG28+AH28</f>
        <v>5396.540615999999</v>
      </c>
      <c r="C28" s="27"/>
      <c r="D28" s="29">
        <f>(-D18-D24)*Исх!$C$8</f>
        <v>1632.6637500000002</v>
      </c>
      <c r="E28" s="29">
        <f>(-E18-E24)*Исх!$C$8</f>
        <v>2097.66375</v>
      </c>
      <c r="F28" s="29">
        <f>(-F18-F24)*Исх!$C$8</f>
        <v>767.4</v>
      </c>
      <c r="G28" s="29">
        <f>(-G18-G24)*Исх!$C$8</f>
        <v>281.1065579999998</v>
      </c>
      <c r="H28" s="29">
        <f>(-H18-H24)*Исх!$C$8</f>
        <v>212.7065579999998</v>
      </c>
      <c r="I28" s="33">
        <f>1350*0.3</f>
        <v>405</v>
      </c>
      <c r="J28" s="29">
        <f>Инв!K5*Исх!$C$19</f>
        <v>0</v>
      </c>
      <c r="K28" s="29">
        <f>Инв!L5*Исх!$C$19</f>
        <v>0</v>
      </c>
      <c r="L28" s="29">
        <f>Инв!M5*Исх!$C$19</f>
        <v>0</v>
      </c>
      <c r="M28" s="29">
        <f>Инв!N5*Исх!$C$19</f>
        <v>0</v>
      </c>
      <c r="N28" s="29">
        <f>Инв!O5*Исх!$C$19</f>
        <v>0</v>
      </c>
      <c r="O28" s="29">
        <f>Инв!P5*Исх!$C$19</f>
        <v>0</v>
      </c>
      <c r="P28" s="27">
        <f>SUM(D28:O28)</f>
        <v>5396.540615999999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7"/>
      <c r="AE28" s="27"/>
      <c r="AF28" s="27"/>
      <c r="AG28" s="27"/>
      <c r="AH28" s="27"/>
    </row>
    <row r="29" spans="1:34" ht="12.75">
      <c r="A29" s="44" t="s">
        <v>252</v>
      </c>
      <c r="B29" s="27">
        <f>P29+AC29+AD29+AE29+AF29+AG29+AH29</f>
        <v>12591.928103999999</v>
      </c>
      <c r="C29" s="27"/>
      <c r="D29" s="45">
        <f>(-D18-D24)-D28</f>
        <v>3809.5487500000004</v>
      </c>
      <c r="E29" s="45">
        <f>(-E18-E24)-E28</f>
        <v>4894.54875</v>
      </c>
      <c r="F29" s="45">
        <f>(-F18-F24)-F28</f>
        <v>1790.6</v>
      </c>
      <c r="G29" s="45">
        <f>(-G18-G24)-G28</f>
        <v>655.9153019999997</v>
      </c>
      <c r="H29" s="45">
        <f>(-H18-H24)-H28</f>
        <v>496.3153019999996</v>
      </c>
      <c r="I29" s="245">
        <f>1350*0.7</f>
        <v>944.9999999999999</v>
      </c>
      <c r="J29" s="45">
        <f>Инв!K30-'1-Ф3'!J28</f>
        <v>0</v>
      </c>
      <c r="K29" s="45">
        <f>Инв!L30-'1-Ф3'!K28</f>
        <v>0</v>
      </c>
      <c r="L29" s="45">
        <f>Инв!M30-'1-Ф3'!L28</f>
        <v>0</v>
      </c>
      <c r="M29" s="45">
        <f>Инв!N30-'1-Ф3'!M28</f>
        <v>0</v>
      </c>
      <c r="N29" s="45">
        <f>Инв!O30-'1-Ф3'!N28</f>
        <v>0</v>
      </c>
      <c r="O29" s="45">
        <f>Инв!P30-'1-Ф3'!O28</f>
        <v>0</v>
      </c>
      <c r="P29" s="27">
        <f>SUM(D29:O29)</f>
        <v>12591.928103999999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27">
        <f>SUM(Q29:AB29)</f>
        <v>0</v>
      </c>
      <c r="AD29" s="27"/>
      <c r="AE29" s="27"/>
      <c r="AF29" s="27"/>
      <c r="AG29" s="27"/>
      <c r="AH29" s="27"/>
    </row>
    <row r="30" spans="1:34" s="21" customFormat="1" ht="12.75">
      <c r="A30" s="26" t="s">
        <v>8</v>
      </c>
      <c r="B30" s="27">
        <f>SUM(B31:B32)</f>
        <v>13049.986950559998</v>
      </c>
      <c r="C30" s="27"/>
      <c r="D30" s="27">
        <f>SUM(D31:D32)</f>
        <v>0</v>
      </c>
      <c r="E30" s="27">
        <f aca="true" t="shared" si="12" ref="E30:AF30">SUM(E31:E32)</f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>SUM(I31:I32)</f>
        <v>0</v>
      </c>
      <c r="J30" s="27">
        <f t="shared" si="12"/>
        <v>167.30752500717946</v>
      </c>
      <c r="K30" s="27">
        <f t="shared" si="12"/>
        <v>167.30752500717946</v>
      </c>
      <c r="L30" s="27">
        <f t="shared" si="12"/>
        <v>167.30752500717946</v>
      </c>
      <c r="M30" s="27">
        <f t="shared" si="12"/>
        <v>167.30752500717946</v>
      </c>
      <c r="N30" s="27">
        <f t="shared" si="12"/>
        <v>167.30752500717946</v>
      </c>
      <c r="O30" s="27">
        <f t="shared" si="12"/>
        <v>167.30752500717946</v>
      </c>
      <c r="P30" s="27">
        <f t="shared" si="12"/>
        <v>1003.8451500430768</v>
      </c>
      <c r="Q30" s="27">
        <f t="shared" si="12"/>
        <v>167.30752500717946</v>
      </c>
      <c r="R30" s="27">
        <f t="shared" si="12"/>
        <v>167.30752500717946</v>
      </c>
      <c r="S30" s="27">
        <f t="shared" si="12"/>
        <v>167.30752500717946</v>
      </c>
      <c r="T30" s="27">
        <f t="shared" si="12"/>
        <v>167.30752500717946</v>
      </c>
      <c r="U30" s="27">
        <f t="shared" si="12"/>
        <v>167.30752500717946</v>
      </c>
      <c r="V30" s="27">
        <f t="shared" si="12"/>
        <v>167.30752500717946</v>
      </c>
      <c r="W30" s="27">
        <f t="shared" si="12"/>
        <v>167.30752500717946</v>
      </c>
      <c r="X30" s="27">
        <f t="shared" si="12"/>
        <v>167.30752500717946</v>
      </c>
      <c r="Y30" s="27">
        <f t="shared" si="12"/>
        <v>167.30752500717946</v>
      </c>
      <c r="Z30" s="27">
        <f t="shared" si="12"/>
        <v>167.30752500717946</v>
      </c>
      <c r="AA30" s="27">
        <f t="shared" si="12"/>
        <v>167.30752500717946</v>
      </c>
      <c r="AB30" s="27">
        <f t="shared" si="12"/>
        <v>167.30752500717946</v>
      </c>
      <c r="AC30" s="27">
        <f t="shared" si="12"/>
        <v>2007.6903000861537</v>
      </c>
      <c r="AD30" s="27">
        <f t="shared" si="12"/>
        <v>2007.6903000861537</v>
      </c>
      <c r="AE30" s="27">
        <f t="shared" si="12"/>
        <v>2007.6903000861537</v>
      </c>
      <c r="AF30" s="27">
        <f t="shared" si="12"/>
        <v>2007.6903000861537</v>
      </c>
      <c r="AG30" s="27">
        <f>SUM(AG31:AG32)</f>
        <v>2007.6903000861537</v>
      </c>
      <c r="AH30" s="27">
        <f>SUM(AH31:AH32)</f>
        <v>2007.6903000861537</v>
      </c>
    </row>
    <row r="31" spans="1:34" ht="12.75">
      <c r="A31" s="28" t="s">
        <v>36</v>
      </c>
      <c r="B31" s="27">
        <f>P31+AC31+AD31+AE31+AF31+AG31+AH31</f>
        <v>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27">
        <f>SUM(D31:O31)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7">
        <f>SUM(Q31:AB31)</f>
        <v>0</v>
      </c>
      <c r="AD31" s="27"/>
      <c r="AE31" s="27"/>
      <c r="AF31" s="27"/>
      <c r="AG31" s="27"/>
      <c r="AH31" s="27"/>
    </row>
    <row r="32" spans="1:34" ht="13.5" customHeight="1">
      <c r="A32" s="38" t="s">
        <v>251</v>
      </c>
      <c r="B32" s="27">
        <f>P32+AC32+AD32+AE32+AF32+AG32+AH32</f>
        <v>13049.986950559998</v>
      </c>
      <c r="C32" s="27"/>
      <c r="D32" s="34">
        <f>кр!C10</f>
        <v>0</v>
      </c>
      <c r="E32" s="34">
        <f>кр!D10</f>
        <v>0</v>
      </c>
      <c r="F32" s="34">
        <f>кр!E10</f>
        <v>0</v>
      </c>
      <c r="G32" s="34">
        <f>кр!F10</f>
        <v>0</v>
      </c>
      <c r="H32" s="34">
        <f>кр!G10</f>
        <v>0</v>
      </c>
      <c r="I32" s="34">
        <f>кр!H10</f>
        <v>0</v>
      </c>
      <c r="J32" s="34">
        <f>кр!I10</f>
        <v>167.30752500717946</v>
      </c>
      <c r="K32" s="34">
        <f>кр!J10</f>
        <v>167.30752500717946</v>
      </c>
      <c r="L32" s="34">
        <f>кр!K10</f>
        <v>167.30752500717946</v>
      </c>
      <c r="M32" s="34">
        <f>кр!L10</f>
        <v>167.30752500717946</v>
      </c>
      <c r="N32" s="34">
        <f>кр!M10</f>
        <v>167.30752500717946</v>
      </c>
      <c r="O32" s="34">
        <f>кр!N10</f>
        <v>167.30752500717946</v>
      </c>
      <c r="P32" s="27">
        <f>SUM(D32:O32)</f>
        <v>1003.8451500430768</v>
      </c>
      <c r="Q32" s="34">
        <f>кр!P10</f>
        <v>167.30752500717946</v>
      </c>
      <c r="R32" s="34">
        <f>кр!Q10</f>
        <v>167.30752500717946</v>
      </c>
      <c r="S32" s="34">
        <f>кр!R10</f>
        <v>167.30752500717946</v>
      </c>
      <c r="T32" s="34">
        <f>кр!S10</f>
        <v>167.30752500717946</v>
      </c>
      <c r="U32" s="34">
        <f>кр!T10</f>
        <v>167.30752500717946</v>
      </c>
      <c r="V32" s="34">
        <f>кр!U10</f>
        <v>167.30752500717946</v>
      </c>
      <c r="W32" s="34">
        <f>кр!V10</f>
        <v>167.30752500717946</v>
      </c>
      <c r="X32" s="34">
        <f>кр!W10</f>
        <v>167.30752500717946</v>
      </c>
      <c r="Y32" s="34">
        <f>кр!X10</f>
        <v>167.30752500717946</v>
      </c>
      <c r="Z32" s="34">
        <f>кр!Y10</f>
        <v>167.30752500717946</v>
      </c>
      <c r="AA32" s="34">
        <f>кр!Z10</f>
        <v>167.30752500717946</v>
      </c>
      <c r="AB32" s="34">
        <f>кр!AA10</f>
        <v>167.30752500717946</v>
      </c>
      <c r="AC32" s="27">
        <f>SUM(Q32:AB32)</f>
        <v>2007.6903000861537</v>
      </c>
      <c r="AD32" s="34">
        <f>кр!AO10</f>
        <v>2007.6903000861537</v>
      </c>
      <c r="AE32" s="34">
        <f>кр!BB10</f>
        <v>2007.6903000861537</v>
      </c>
      <c r="AF32" s="34">
        <f>кр!BO10</f>
        <v>2007.6903000861537</v>
      </c>
      <c r="AG32" s="34">
        <f>кр!CB10</f>
        <v>2007.6903000861537</v>
      </c>
      <c r="AH32" s="34">
        <f>кр!CO10</f>
        <v>2007.6903000861537</v>
      </c>
    </row>
    <row r="33" spans="1:34" s="21" customFormat="1" ht="25.5">
      <c r="A33" s="39" t="s">
        <v>27</v>
      </c>
      <c r="B33" s="18">
        <f>B27-B30</f>
        <v>4938.481769439999</v>
      </c>
      <c r="C33" s="18"/>
      <c r="D33" s="18">
        <f>D27-D30</f>
        <v>5442.212500000001</v>
      </c>
      <c r="E33" s="18">
        <f aca="true" t="shared" si="13" ref="E33:AF33">E27-E30</f>
        <v>6992.2125</v>
      </c>
      <c r="F33" s="18">
        <f t="shared" si="13"/>
        <v>2558</v>
      </c>
      <c r="G33" s="18">
        <f t="shared" si="13"/>
        <v>937.0218599999994</v>
      </c>
      <c r="H33" s="18">
        <f t="shared" si="13"/>
        <v>709.0218599999994</v>
      </c>
      <c r="I33" s="18">
        <f t="shared" si="13"/>
        <v>1350</v>
      </c>
      <c r="J33" s="18">
        <f t="shared" si="13"/>
        <v>-167.30752500717946</v>
      </c>
      <c r="K33" s="18">
        <f t="shared" si="13"/>
        <v>-167.30752500717946</v>
      </c>
      <c r="L33" s="18">
        <f t="shared" si="13"/>
        <v>-167.30752500717946</v>
      </c>
      <c r="M33" s="18">
        <f t="shared" si="13"/>
        <v>-167.30752500717946</v>
      </c>
      <c r="N33" s="18">
        <f t="shared" si="13"/>
        <v>-167.30752500717946</v>
      </c>
      <c r="O33" s="18">
        <f t="shared" si="13"/>
        <v>-167.30752500717946</v>
      </c>
      <c r="P33" s="18">
        <f t="shared" si="13"/>
        <v>16984.62356995692</v>
      </c>
      <c r="Q33" s="18">
        <f t="shared" si="13"/>
        <v>-167.30752500717946</v>
      </c>
      <c r="R33" s="18">
        <f t="shared" si="13"/>
        <v>-167.30752500717946</v>
      </c>
      <c r="S33" s="18">
        <f t="shared" si="13"/>
        <v>-167.30752500717946</v>
      </c>
      <c r="T33" s="18">
        <f t="shared" si="13"/>
        <v>-167.30752500717946</v>
      </c>
      <c r="U33" s="18">
        <f t="shared" si="13"/>
        <v>-167.30752500717946</v>
      </c>
      <c r="V33" s="18">
        <f t="shared" si="13"/>
        <v>-167.30752500717946</v>
      </c>
      <c r="W33" s="18">
        <f t="shared" si="13"/>
        <v>-167.30752500717946</v>
      </c>
      <c r="X33" s="18">
        <f t="shared" si="13"/>
        <v>-167.30752500717946</v>
      </c>
      <c r="Y33" s="18">
        <f t="shared" si="13"/>
        <v>-167.30752500717946</v>
      </c>
      <c r="Z33" s="18">
        <f t="shared" si="13"/>
        <v>-167.30752500717946</v>
      </c>
      <c r="AA33" s="18">
        <f t="shared" si="13"/>
        <v>-167.30752500717946</v>
      </c>
      <c r="AB33" s="18">
        <f t="shared" si="13"/>
        <v>-167.30752500717946</v>
      </c>
      <c r="AC33" s="18">
        <f t="shared" si="13"/>
        <v>-2007.6903000861537</v>
      </c>
      <c r="AD33" s="18">
        <f t="shared" si="13"/>
        <v>-2007.6903000861537</v>
      </c>
      <c r="AE33" s="18">
        <f t="shared" si="13"/>
        <v>-2007.6903000861537</v>
      </c>
      <c r="AF33" s="18">
        <f t="shared" si="13"/>
        <v>-2007.6903000861537</v>
      </c>
      <c r="AG33" s="18">
        <f>AG27-AG30</f>
        <v>-2007.6903000861537</v>
      </c>
      <c r="AH33" s="18">
        <f>AH27-AH30</f>
        <v>-2007.6903000861537</v>
      </c>
    </row>
    <row r="34" spans="1:34" s="48" customFormat="1" ht="12.75">
      <c r="A34" s="46" t="s">
        <v>28</v>
      </c>
      <c r="B34" s="47">
        <f>B18+B24+B33</f>
        <v>29568.145885196558</v>
      </c>
      <c r="C34" s="27"/>
      <c r="D34" s="47">
        <f>D18+D24+D33</f>
        <v>0</v>
      </c>
      <c r="E34" s="47">
        <f aca="true" t="shared" si="14" ref="E34:AF34">E18+E24+E33</f>
        <v>0</v>
      </c>
      <c r="F34" s="47">
        <f t="shared" si="14"/>
        <v>0</v>
      </c>
      <c r="G34" s="47">
        <f t="shared" si="14"/>
        <v>0</v>
      </c>
      <c r="H34" s="47">
        <f t="shared" si="14"/>
        <v>0</v>
      </c>
      <c r="I34" s="47">
        <f t="shared" si="14"/>
        <v>868.9781400000002</v>
      </c>
      <c r="J34" s="47">
        <f t="shared" si="14"/>
        <v>-550.8292545127795</v>
      </c>
      <c r="K34" s="47">
        <f t="shared" si="14"/>
        <v>-275.5561792627075</v>
      </c>
      <c r="L34" s="47">
        <f t="shared" si="14"/>
        <v>-0.28310401263544804</v>
      </c>
      <c r="M34" s="47">
        <f t="shared" si="14"/>
        <v>103.5775183802937</v>
      </c>
      <c r="N34" s="47">
        <f t="shared" si="14"/>
        <v>53.25068077322365</v>
      </c>
      <c r="O34" s="47">
        <f t="shared" si="14"/>
        <v>54.92375602329528</v>
      </c>
      <c r="P34" s="47">
        <f t="shared" si="14"/>
        <v>254.06155738867164</v>
      </c>
      <c r="Q34" s="47">
        <f t="shared" si="14"/>
        <v>56.59683127336692</v>
      </c>
      <c r="R34" s="47">
        <f t="shared" si="14"/>
        <v>261.84133509486605</v>
      </c>
      <c r="S34" s="47">
        <f t="shared" si="14"/>
        <v>263.5144103449386</v>
      </c>
      <c r="T34" s="47">
        <f t="shared" si="14"/>
        <v>265.18748559501023</v>
      </c>
      <c r="U34" s="47">
        <f t="shared" si="14"/>
        <v>470.4319894165103</v>
      </c>
      <c r="V34" s="47">
        <f t="shared" si="14"/>
        <v>472.10506466658194</v>
      </c>
      <c r="W34" s="47">
        <f t="shared" si="14"/>
        <v>473.7781399166536</v>
      </c>
      <c r="X34" s="47">
        <f t="shared" si="14"/>
        <v>475.4512151667261</v>
      </c>
      <c r="Y34" s="47">
        <f t="shared" si="14"/>
        <v>477.12429041679775</v>
      </c>
      <c r="Z34" s="47">
        <f t="shared" si="14"/>
        <v>478.7973656668694</v>
      </c>
      <c r="AA34" s="47">
        <f t="shared" si="14"/>
        <v>427.642719031742</v>
      </c>
      <c r="AB34" s="47">
        <f t="shared" si="14"/>
        <v>372.8234641821739</v>
      </c>
      <c r="AC34" s="47">
        <f>AC18+AC24+AC33</f>
        <v>4495.294310772234</v>
      </c>
      <c r="AD34" s="47">
        <f t="shared" si="14"/>
        <v>4578.281465790579</v>
      </c>
      <c r="AE34" s="47">
        <f t="shared" si="14"/>
        <v>4771.0197345988445</v>
      </c>
      <c r="AF34" s="47">
        <f t="shared" si="14"/>
        <v>4963.758003407124</v>
      </c>
      <c r="AG34" s="47">
        <f>AG18+AG24+AG33</f>
        <v>5156.49627221539</v>
      </c>
      <c r="AH34" s="47">
        <f>AH18+AH24+AH33</f>
        <v>5349.234541023662</v>
      </c>
    </row>
    <row r="35" spans="1:41" s="21" customFormat="1" ht="12.75">
      <c r="A35" s="49" t="s">
        <v>60</v>
      </c>
      <c r="B35" s="27">
        <f>B7+B18+B24+B33</f>
        <v>29568.145885196558</v>
      </c>
      <c r="C35" s="50"/>
      <c r="D35" s="51">
        <f aca="true" t="shared" si="15" ref="D35:O35">D7+D18+D24+D33</f>
        <v>0</v>
      </c>
      <c r="E35" s="51">
        <f t="shared" si="15"/>
        <v>0</v>
      </c>
      <c r="F35" s="51">
        <f t="shared" si="15"/>
        <v>0</v>
      </c>
      <c r="G35" s="51">
        <f t="shared" si="15"/>
        <v>0</v>
      </c>
      <c r="H35" s="51">
        <f t="shared" si="15"/>
        <v>0</v>
      </c>
      <c r="I35" s="51">
        <f t="shared" si="15"/>
        <v>868.9781400000002</v>
      </c>
      <c r="J35" s="51">
        <f t="shared" si="15"/>
        <v>318.1488854872207</v>
      </c>
      <c r="K35" s="51">
        <f t="shared" si="15"/>
        <v>42.59270622451325</v>
      </c>
      <c r="L35" s="51">
        <f t="shared" si="15"/>
        <v>42.3096022118778</v>
      </c>
      <c r="M35" s="51">
        <f t="shared" si="15"/>
        <v>145.8871205921715</v>
      </c>
      <c r="N35" s="51">
        <f t="shared" si="15"/>
        <v>199.13780136539518</v>
      </c>
      <c r="O35" s="51">
        <f t="shared" si="15"/>
        <v>254.06155738869043</v>
      </c>
      <c r="P35" s="52">
        <f>O35</f>
        <v>254.06155738869043</v>
      </c>
      <c r="Q35" s="51">
        <f>P35+Q18+Q24+Q33</f>
        <v>310.6583886620573</v>
      </c>
      <c r="R35" s="51">
        <f aca="true" t="shared" si="16" ref="R35:AB35">Q35+R18+R24+R33</f>
        <v>572.4997237569233</v>
      </c>
      <c r="S35" s="51">
        <f t="shared" si="16"/>
        <v>836.0141341018619</v>
      </c>
      <c r="T35" s="51">
        <f t="shared" si="16"/>
        <v>1101.2016196968723</v>
      </c>
      <c r="U35" s="51">
        <f t="shared" si="16"/>
        <v>1571.6336091133826</v>
      </c>
      <c r="V35" s="51">
        <f t="shared" si="16"/>
        <v>2043.7386737799645</v>
      </c>
      <c r="W35" s="51">
        <f t="shared" si="16"/>
        <v>2517.516813696618</v>
      </c>
      <c r="X35" s="51">
        <f t="shared" si="16"/>
        <v>2992.9680288633444</v>
      </c>
      <c r="Y35" s="51">
        <f t="shared" si="16"/>
        <v>3470.0923192801424</v>
      </c>
      <c r="Z35" s="51">
        <f t="shared" si="16"/>
        <v>3948.8896849470116</v>
      </c>
      <c r="AA35" s="51">
        <f t="shared" si="16"/>
        <v>4376.532403978754</v>
      </c>
      <c r="AB35" s="51">
        <f t="shared" si="16"/>
        <v>4749.3558681609275</v>
      </c>
      <c r="AC35" s="51">
        <f>AB35</f>
        <v>4749.3558681609275</v>
      </c>
      <c r="AD35" s="51">
        <f>AC35+AD18+AD24+AD33</f>
        <v>9327.637333951508</v>
      </c>
      <c r="AE35" s="51">
        <f>AD35+AE18+AE24+AE33</f>
        <v>14098.657068550354</v>
      </c>
      <c r="AF35" s="51">
        <f>AE35+AF18+AF24+AF33</f>
        <v>19062.41507195748</v>
      </c>
      <c r="AG35" s="51">
        <f>AF35+AG18+AG24+AG33</f>
        <v>24218.91134417287</v>
      </c>
      <c r="AH35" s="51">
        <f>AG35+AH18+AH24+AH33</f>
        <v>29568.145885196533</v>
      </c>
      <c r="AI35" s="7">
        <v>2012</v>
      </c>
      <c r="AJ35" s="7">
        <f aca="true" t="shared" si="17" ref="AJ35:AM36">AI35+1</f>
        <v>2013</v>
      </c>
      <c r="AK35" s="7">
        <f t="shared" si="17"/>
        <v>2014</v>
      </c>
      <c r="AL35" s="7">
        <f t="shared" si="17"/>
        <v>2015</v>
      </c>
      <c r="AM35" s="7">
        <f t="shared" si="17"/>
        <v>2016</v>
      </c>
      <c r="AN35" s="7">
        <f>AM35+1</f>
        <v>2017</v>
      </c>
      <c r="AO35" s="7">
        <f>AN35+1</f>
        <v>2018</v>
      </c>
    </row>
    <row r="36" spans="1:41" ht="12.75">
      <c r="A36" s="53"/>
      <c r="B36" s="54">
        <f>AH35</f>
        <v>29568.145885196533</v>
      </c>
      <c r="C36" s="55"/>
      <c r="D36" s="56">
        <f aca="true" t="shared" si="18" ref="D36:AH36">D7+D34-D35</f>
        <v>0</v>
      </c>
      <c r="E36" s="56">
        <f t="shared" si="18"/>
        <v>0</v>
      </c>
      <c r="F36" s="56">
        <f t="shared" si="18"/>
        <v>0</v>
      </c>
      <c r="G36" s="56">
        <f t="shared" si="18"/>
        <v>0</v>
      </c>
      <c r="H36" s="56">
        <f t="shared" si="18"/>
        <v>0</v>
      </c>
      <c r="I36" s="56">
        <f t="shared" si="18"/>
        <v>0</v>
      </c>
      <c r="J36" s="56">
        <f t="shared" si="18"/>
        <v>0</v>
      </c>
      <c r="K36" s="56">
        <f t="shared" si="18"/>
        <v>0</v>
      </c>
      <c r="L36" s="56">
        <f t="shared" si="18"/>
        <v>0</v>
      </c>
      <c r="M36" s="56">
        <f t="shared" si="18"/>
        <v>0</v>
      </c>
      <c r="N36" s="56">
        <f t="shared" si="18"/>
        <v>0</v>
      </c>
      <c r="O36" s="56">
        <f t="shared" si="18"/>
        <v>0</v>
      </c>
      <c r="P36" s="56">
        <f t="shared" si="18"/>
        <v>-1.878674993349705E-11</v>
      </c>
      <c r="Q36" s="56">
        <f t="shared" si="18"/>
        <v>0</v>
      </c>
      <c r="R36" s="56">
        <f t="shared" si="18"/>
        <v>0</v>
      </c>
      <c r="S36" s="56">
        <f t="shared" si="18"/>
        <v>0</v>
      </c>
      <c r="T36" s="56">
        <f t="shared" si="18"/>
        <v>0</v>
      </c>
      <c r="U36" s="56">
        <f t="shared" si="18"/>
        <v>0</v>
      </c>
      <c r="V36" s="56">
        <f t="shared" si="18"/>
        <v>0</v>
      </c>
      <c r="W36" s="56">
        <f t="shared" si="18"/>
        <v>0</v>
      </c>
      <c r="X36" s="56">
        <f t="shared" si="18"/>
        <v>0</v>
      </c>
      <c r="Y36" s="56">
        <f t="shared" si="18"/>
        <v>0</v>
      </c>
      <c r="Z36" s="56">
        <f t="shared" si="18"/>
        <v>0</v>
      </c>
      <c r="AA36" s="56">
        <f t="shared" si="18"/>
        <v>0</v>
      </c>
      <c r="AB36" s="56">
        <f t="shared" si="18"/>
        <v>0</v>
      </c>
      <c r="AC36" s="56">
        <f t="shared" si="18"/>
        <v>0</v>
      </c>
      <c r="AD36" s="56">
        <f t="shared" si="18"/>
        <v>0</v>
      </c>
      <c r="AE36" s="56">
        <f t="shared" si="18"/>
        <v>0</v>
      </c>
      <c r="AF36" s="56">
        <f t="shared" si="18"/>
        <v>0</v>
      </c>
      <c r="AG36" s="56">
        <f t="shared" si="18"/>
        <v>0</v>
      </c>
      <c r="AH36" s="56">
        <f t="shared" si="18"/>
        <v>0</v>
      </c>
      <c r="AI36" s="63">
        <v>1</v>
      </c>
      <c r="AJ36" s="63">
        <f t="shared" si="17"/>
        <v>2</v>
      </c>
      <c r="AK36" s="63">
        <f t="shared" si="17"/>
        <v>3</v>
      </c>
      <c r="AL36" s="63">
        <f t="shared" si="17"/>
        <v>4</v>
      </c>
      <c r="AM36" s="63">
        <f t="shared" si="17"/>
        <v>5</v>
      </c>
      <c r="AN36" s="63">
        <f>AM36+1</f>
        <v>6</v>
      </c>
      <c r="AO36" s="63">
        <f>AN36+1</f>
        <v>7</v>
      </c>
    </row>
    <row r="37" spans="1:41" ht="12.75">
      <c r="A37" s="53" t="s">
        <v>68</v>
      </c>
      <c r="B37" s="64">
        <f>B35-B36</f>
        <v>0</v>
      </c>
      <c r="C37" s="55"/>
      <c r="Q37" s="58"/>
      <c r="AI37" s="58">
        <f>P34</f>
        <v>254.06155738867164</v>
      </c>
      <c r="AJ37" s="58">
        <f aca="true" t="shared" si="19" ref="AJ37:AO37">AC34</f>
        <v>4495.294310772234</v>
      </c>
      <c r="AK37" s="58">
        <f t="shared" si="19"/>
        <v>4578.281465790579</v>
      </c>
      <c r="AL37" s="58">
        <f t="shared" si="19"/>
        <v>4771.0197345988445</v>
      </c>
      <c r="AM37" s="58">
        <f t="shared" si="19"/>
        <v>4963.758003407124</v>
      </c>
      <c r="AN37" s="58">
        <f t="shared" si="19"/>
        <v>5156.49627221539</v>
      </c>
      <c r="AO37" s="58">
        <f t="shared" si="19"/>
        <v>5349.234541023662</v>
      </c>
    </row>
    <row r="38" spans="1:41" ht="12.75">
      <c r="A38" s="53" t="s">
        <v>69</v>
      </c>
      <c r="B38" s="55"/>
      <c r="C38" s="55"/>
      <c r="AI38" s="58">
        <f>AI37+P32+P31+P15</f>
        <v>2015.8097957142713</v>
      </c>
      <c r="AJ38" s="58">
        <f aca="true" t="shared" si="20" ref="AJ38:AO38">AJ37+AC32+AC31+AC15</f>
        <v>7838.09866041568</v>
      </c>
      <c r="AK38" s="58">
        <f t="shared" si="20"/>
        <v>7680.162979423686</v>
      </c>
      <c r="AL38" s="58">
        <f t="shared" si="20"/>
        <v>7631.978412221612</v>
      </c>
      <c r="AM38" s="58">
        <f t="shared" si="20"/>
        <v>7583.793845019553</v>
      </c>
      <c r="AN38" s="58">
        <f t="shared" si="20"/>
        <v>7535.609277817481</v>
      </c>
      <c r="AO38" s="58">
        <f t="shared" si="20"/>
        <v>7487.424710615414</v>
      </c>
    </row>
    <row r="39" spans="1:41" ht="12.75">
      <c r="A39" s="53" t="s">
        <v>70</v>
      </c>
      <c r="B39" s="55"/>
      <c r="C39" s="55"/>
      <c r="V39" s="58"/>
      <c r="AI39" s="58">
        <f>P27</f>
        <v>17988.468719999997</v>
      </c>
      <c r="AJ39" s="58">
        <f>AC27</f>
        <v>0</v>
      </c>
      <c r="AK39" s="58"/>
      <c r="AL39" s="58"/>
      <c r="AM39" s="58"/>
      <c r="AN39" s="58"/>
      <c r="AO39" s="58"/>
    </row>
    <row r="40" spans="1:41" ht="12.75">
      <c r="A40" s="65" t="s">
        <v>71</v>
      </c>
      <c r="B40" s="55"/>
      <c r="C40" s="55"/>
      <c r="AI40" s="66">
        <f aca="true" t="shared" si="21" ref="AI40:AO40">AI38-AI39</f>
        <v>-15972.658924285726</v>
      </c>
      <c r="AJ40" s="66">
        <f t="shared" si="21"/>
        <v>7838.09866041568</v>
      </c>
      <c r="AK40" s="66">
        <f t="shared" si="21"/>
        <v>7680.162979423686</v>
      </c>
      <c r="AL40" s="66">
        <f t="shared" si="21"/>
        <v>7631.978412221612</v>
      </c>
      <c r="AM40" s="66">
        <f t="shared" si="21"/>
        <v>7583.793845019553</v>
      </c>
      <c r="AN40" s="66">
        <f t="shared" si="21"/>
        <v>7535.609277817481</v>
      </c>
      <c r="AO40" s="66">
        <f t="shared" si="21"/>
        <v>7487.424710615414</v>
      </c>
    </row>
    <row r="41" spans="1:41" ht="12.75">
      <c r="A41" s="67" t="s">
        <v>72</v>
      </c>
      <c r="B41" s="55"/>
      <c r="C41" s="55"/>
      <c r="AI41" s="68">
        <f>AI40/(1+Исх!$C$7)^'1-Ф3'!AI36</f>
        <v>-14170.208414022114</v>
      </c>
      <c r="AJ41" s="68">
        <f>AJ40/(1+Исх!$C$7)^'1-Ф3'!AJ36</f>
        <v>6168.914706230252</v>
      </c>
      <c r="AK41" s="68">
        <f>AK40/(1+Исх!$C$7)^'1-Ф3'!AK36</f>
        <v>5362.502354955277</v>
      </c>
      <c r="AL41" s="68">
        <f>AL40/(1+Исх!$C$7)^'1-Ф3'!AL36</f>
        <v>4727.518236814881</v>
      </c>
      <c r="AM41" s="68">
        <f>AM40/(1+Исх!$C$7)^'1-Ф3'!AM36</f>
        <v>4167.557670457135</v>
      </c>
      <c r="AN41" s="68">
        <f>AN40/(1+Исх!$C$7)^'1-Ф3'!AN36</f>
        <v>3673.774467776599</v>
      </c>
      <c r="AO41" s="68">
        <f>AO40/(1+Исх!$C$7)^'1-Ф3'!AO36</f>
        <v>3238.3635881539185</v>
      </c>
    </row>
    <row r="42" spans="1:41" ht="12.75">
      <c r="A42" s="65" t="s">
        <v>73</v>
      </c>
      <c r="B42" s="55"/>
      <c r="C42" s="55"/>
      <c r="AI42" s="66">
        <f>AI40</f>
        <v>-15972.658924285726</v>
      </c>
      <c r="AJ42" s="66">
        <f aca="true" t="shared" si="22" ref="AJ42:AM43">AI42+AJ40</f>
        <v>-8134.560263870047</v>
      </c>
      <c r="AK42" s="66">
        <f t="shared" si="22"/>
        <v>-454.3972844463606</v>
      </c>
      <c r="AL42" s="66">
        <f t="shared" si="22"/>
        <v>7177.581127775252</v>
      </c>
      <c r="AM42" s="66">
        <f t="shared" si="22"/>
        <v>14761.374972794805</v>
      </c>
      <c r="AN42" s="66">
        <f>AM42+AN40</f>
        <v>22296.984250612288</v>
      </c>
      <c r="AO42" s="66">
        <f>AN42+AO40</f>
        <v>29784.408961227702</v>
      </c>
    </row>
    <row r="43" spans="1:41" ht="12.75">
      <c r="A43" s="67" t="s">
        <v>74</v>
      </c>
      <c r="B43" s="55"/>
      <c r="C43" s="55"/>
      <c r="AI43" s="68">
        <f>AI41</f>
        <v>-14170.208414022114</v>
      </c>
      <c r="AJ43" s="68">
        <f t="shared" si="22"/>
        <v>-8001.293707791862</v>
      </c>
      <c r="AK43" s="68">
        <f t="shared" si="22"/>
        <v>-2638.7913528365852</v>
      </c>
      <c r="AL43" s="68">
        <f t="shared" si="22"/>
        <v>2088.7268839782955</v>
      </c>
      <c r="AM43" s="68">
        <f t="shared" si="22"/>
        <v>6256.28455443543</v>
      </c>
      <c r="AN43" s="68">
        <f>AM43+AN41</f>
        <v>9930.05902221203</v>
      </c>
      <c r="AO43" s="68">
        <f>AN43+AO41</f>
        <v>13168.42261036595</v>
      </c>
    </row>
    <row r="44" spans="1:41" ht="12.75">
      <c r="A44" s="53" t="s">
        <v>75</v>
      </c>
      <c r="B44" s="55"/>
      <c r="C44" s="55"/>
      <c r="AI44" s="58">
        <f>NPV(Исх!$C$7,'1-Ф3'!$AI38:AI38)</f>
        <v>1788.3337435364367</v>
      </c>
      <c r="AJ44" s="58">
        <f>NPV(Исх!$C$7,'1-Ф3'!$AI38:AJ38)</f>
        <v>7957.248449766688</v>
      </c>
      <c r="AK44" s="58">
        <f>NPV(Исх!$C$7,'1-Ф3'!$AI38:AK38)</f>
        <v>13319.750804721965</v>
      </c>
      <c r="AL44" s="58">
        <f>NPV(Исх!$C$7,'1-Ф3'!$AI38:AL38)</f>
        <v>18047.26904153685</v>
      </c>
      <c r="AM44" s="58">
        <f>NPV(Исх!$C$7,'1-Ф3'!$AI38:AM38)</f>
        <v>22214.82671199398</v>
      </c>
      <c r="AN44" s="58">
        <f>NPV(Исх!$C$7,'1-Ф3'!$AI38:AN38)</f>
        <v>25888.60117977058</v>
      </c>
      <c r="AO44" s="58">
        <f>NPV(Исх!$C$7,'1-Ф3'!$AI38:AO38)</f>
        <v>29126.964767924495</v>
      </c>
    </row>
    <row r="45" spans="1:41" ht="12.75">
      <c r="A45" s="53" t="s">
        <v>76</v>
      </c>
      <c r="B45" s="55"/>
      <c r="C45" s="55"/>
      <c r="AI45" s="58">
        <f>NPV(Исх!$C$7,'1-Ф3'!$AI39:AI39)</f>
        <v>15958.54215755855</v>
      </c>
      <c r="AJ45" s="58">
        <f>NPV(Исх!$C$7,'1-Ф3'!$AI39:AJ39)</f>
        <v>15958.54215755855</v>
      </c>
      <c r="AK45" s="58">
        <f>NPV(Исх!$C$7,'1-Ф3'!$AI39:AK39)</f>
        <v>15958.54215755855</v>
      </c>
      <c r="AL45" s="58">
        <f>NPV(Исх!$C$7,'1-Ф3'!$AI39:AL39)</f>
        <v>15958.54215755855</v>
      </c>
      <c r="AM45" s="58">
        <f>NPV(Исх!$C$7,'1-Ф3'!$AI39:AM39)</f>
        <v>15958.54215755855</v>
      </c>
      <c r="AN45" s="58">
        <f>NPV(Исх!$C$7,'1-Ф3'!$AI39:AN39)</f>
        <v>15958.54215755855</v>
      </c>
      <c r="AO45" s="58">
        <f>NPV(Исх!$C$7,'1-Ф3'!$AI39:AO39)</f>
        <v>15958.54215755855</v>
      </c>
    </row>
    <row r="46" spans="1:41" ht="12.75">
      <c r="A46" s="53" t="s">
        <v>77</v>
      </c>
      <c r="B46" s="55"/>
      <c r="C46" s="55"/>
      <c r="AI46" s="58">
        <f aca="true" t="shared" si="23" ref="AI46:AO46">AI44-AI45</f>
        <v>-14170.208414022112</v>
      </c>
      <c r="AJ46" s="58">
        <f t="shared" si="23"/>
        <v>-8001.293707791861</v>
      </c>
      <c r="AK46" s="58">
        <f t="shared" si="23"/>
        <v>-2638.7913528365843</v>
      </c>
      <c r="AL46" s="58">
        <f t="shared" si="23"/>
        <v>2088.726883978299</v>
      </c>
      <c r="AM46" s="58">
        <f t="shared" si="23"/>
        <v>6256.284554435431</v>
      </c>
      <c r="AN46" s="58">
        <f t="shared" si="23"/>
        <v>9930.05902221203</v>
      </c>
      <c r="AO46" s="58">
        <f t="shared" si="23"/>
        <v>13168.422610365946</v>
      </c>
    </row>
    <row r="47" spans="1:41" ht="12.75">
      <c r="A47" s="53" t="s">
        <v>78</v>
      </c>
      <c r="B47" s="55"/>
      <c r="C47" s="55"/>
      <c r="AI47" s="69">
        <f aca="true" t="shared" si="24" ref="AI47:AO47">AI44/AI45</f>
        <v>0.1120612225026718</v>
      </c>
      <c r="AJ47" s="69">
        <f t="shared" si="24"/>
        <v>0.49862000997364564</v>
      </c>
      <c r="AK47" s="69">
        <f t="shared" si="24"/>
        <v>0.8346470920223276</v>
      </c>
      <c r="AL47" s="69">
        <f t="shared" si="24"/>
        <v>1.1308845672340442</v>
      </c>
      <c r="AM47" s="69">
        <f t="shared" si="24"/>
        <v>1.3920335888245423</v>
      </c>
      <c r="AN47" s="69">
        <f t="shared" si="24"/>
        <v>1.62224098693807</v>
      </c>
      <c r="AO47" s="69">
        <f t="shared" si="24"/>
        <v>1.825164509411588</v>
      </c>
    </row>
    <row r="48" spans="1:41" ht="12.75">
      <c r="A48" s="53" t="s">
        <v>79</v>
      </c>
      <c r="B48" s="55"/>
      <c r="C48" s="55"/>
      <c r="AG48" s="70" t="str">
        <f>IF(ISERROR(IRR($AI40:AI$40))," ",IF(IRR($AI40:AI$40)&lt;0," ",IRR($AI40:AI$40)))</f>
        <v> </v>
      </c>
      <c r="AH48" s="70" t="str">
        <f>IF(ISERROR(IRR($AI40:AJ$40))," ",IF(IRR($AI40:AJ$40)&lt;0," ",IRR($AI40:AJ$40)))</f>
        <v> </v>
      </c>
      <c r="AI48" s="70" t="str">
        <f>IF(ISERROR(IRR($AI40:AI$40))," ",IF(IRR($AI40:AI$40)&lt;0," ",IRR($AI40:AI$40)))</f>
        <v> </v>
      </c>
      <c r="AJ48" s="70" t="str">
        <f>IF(ISERROR(IRR($AI40:AJ$40))," ",IF(IRR($AI40:AJ$40)&lt;0," ",IRR($AI40:AJ$40)))</f>
        <v> </v>
      </c>
      <c r="AK48" s="70" t="str">
        <f>IF(ISERROR(IRR($AI40:AK$40))," ",IF(IRR($AI40:AK$40)&lt;0," ",IRR($AI40:AK$40)))</f>
        <v> </v>
      </c>
      <c r="AL48" s="70">
        <f>IF(ISERROR(IRR($AI40:AL$40))," ",IF(IRR($AI40:AL$40)&lt;0," ",IRR($AI40:AL$40)))</f>
        <v>0.2123882778661091</v>
      </c>
      <c r="AM48" s="70">
        <f>IF(ISERROR(IRR($AI40:AM$40))," ",IF(IRR($AI40:AM$40)&lt;0," ",IRR($AI40:AM$40)))</f>
        <v>0.32727775839323037</v>
      </c>
      <c r="AN48" s="70">
        <f>IF(ISERROR(IRR($AI40:AN$40))," ",IF(IRR($AI40:AN$40)&lt;0," ",IRR($AI40:AN$40)))</f>
        <v>0.3887753222206246</v>
      </c>
      <c r="AO48" s="70">
        <f>IF(ISERROR(IRR($AI40:AO$40))," ",IF(IRR($AI40:AO$40)&lt;0," ",IRR($AI40:AO$40)))</f>
        <v>0.42369881074240945</v>
      </c>
    </row>
    <row r="49" spans="1:3" ht="12.75">
      <c r="A49" s="71" t="s">
        <v>39</v>
      </c>
      <c r="B49" s="59">
        <f>AK36-AK42/AL40-4/12</f>
        <v>2.726205263332336</v>
      </c>
      <c r="C49" s="55"/>
    </row>
    <row r="50" spans="1:3" ht="12.75">
      <c r="A50" s="71" t="s">
        <v>32</v>
      </c>
      <c r="B50" s="59">
        <f>AK36-AK43/AL41-4/12</f>
        <v>3.2248435410121465</v>
      </c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3" ht="12.75">
      <c r="A62" s="53"/>
      <c r="B62" s="55"/>
      <c r="C62" s="55"/>
    </row>
    <row r="63" spans="1:3" ht="12.75">
      <c r="A63" s="53"/>
      <c r="B63" s="55"/>
      <c r="C63" s="55"/>
    </row>
    <row r="64" spans="1:3" ht="12.75">
      <c r="A64" s="53"/>
      <c r="B64" s="55"/>
      <c r="C64" s="55"/>
    </row>
    <row r="65" spans="1:3" ht="12.75">
      <c r="A65" s="53"/>
      <c r="B65" s="55"/>
      <c r="C65" s="55"/>
    </row>
    <row r="66" spans="1:3" ht="12.75">
      <c r="A66" s="53"/>
      <c r="B66" s="55"/>
      <c r="C66" s="55"/>
    </row>
    <row r="67" spans="1:3" ht="12.75">
      <c r="A67" s="53"/>
      <c r="B67" s="55"/>
      <c r="C67" s="55"/>
    </row>
    <row r="68" spans="1:3" ht="12.75">
      <c r="A68" s="53"/>
      <c r="B68" s="55"/>
      <c r="C68" s="55"/>
    </row>
    <row r="69" spans="1:3" ht="12.75">
      <c r="A69" s="53"/>
      <c r="B69" s="55"/>
      <c r="C69" s="55"/>
    </row>
    <row r="70" spans="1:3" ht="12.75">
      <c r="A70" s="53"/>
      <c r="B70" s="55"/>
      <c r="C70" s="55"/>
    </row>
    <row r="71" spans="1:3" ht="12.75">
      <c r="A71" s="53"/>
      <c r="B71" s="55"/>
      <c r="C71" s="55"/>
    </row>
    <row r="72" spans="1:3" ht="12.75">
      <c r="A72" s="53"/>
      <c r="B72" s="55"/>
      <c r="C72" s="55"/>
    </row>
    <row r="73" spans="1:3" ht="12.75">
      <c r="A73" s="53"/>
      <c r="B73" s="55"/>
      <c r="C73" s="55"/>
    </row>
    <row r="74" spans="1:3" ht="12.75">
      <c r="A74" s="53"/>
      <c r="B74" s="55"/>
      <c r="C74" s="55"/>
    </row>
    <row r="75" spans="1:3" ht="12.75">
      <c r="A75" s="53"/>
      <c r="B75" s="55"/>
      <c r="C75" s="55"/>
    </row>
    <row r="76" spans="1:3" ht="12.75">
      <c r="A76" s="53"/>
      <c r="B76" s="55"/>
      <c r="C76" s="55"/>
    </row>
    <row r="77" spans="1:3" ht="12.75">
      <c r="A77" s="53"/>
      <c r="B77" s="55"/>
      <c r="C77" s="55"/>
    </row>
    <row r="78" spans="1:3" ht="12.75">
      <c r="A78" s="53"/>
      <c r="B78" s="55"/>
      <c r="C78" s="55"/>
    </row>
    <row r="79" spans="1:3" ht="12.75">
      <c r="A79" s="53"/>
      <c r="B79" s="55"/>
      <c r="C79" s="55"/>
    </row>
    <row r="80" spans="1:3" ht="12.75">
      <c r="A80" s="53"/>
      <c r="B80" s="55"/>
      <c r="C80" s="55"/>
    </row>
    <row r="81" spans="1:3" ht="12.75">
      <c r="A81" s="53"/>
      <c r="B81" s="55"/>
      <c r="C81" s="55"/>
    </row>
    <row r="82" spans="1:3" ht="12.75">
      <c r="A82" s="53"/>
      <c r="B82" s="55"/>
      <c r="C82" s="55"/>
    </row>
    <row r="83" spans="1:3" ht="12.75">
      <c r="A83" s="53"/>
      <c r="B83" s="55"/>
      <c r="C83" s="55"/>
    </row>
    <row r="84" spans="1:3" ht="12.75">
      <c r="A84" s="53"/>
      <c r="B84" s="55"/>
      <c r="C84" s="55"/>
    </row>
    <row r="85" spans="1:3" ht="12.75">
      <c r="A85" s="53"/>
      <c r="B85" s="55"/>
      <c r="C85" s="55"/>
    </row>
    <row r="86" spans="1:3" ht="12.75">
      <c r="A86" s="53"/>
      <c r="B86" s="55"/>
      <c r="C86" s="55"/>
    </row>
    <row r="87" spans="1:3" ht="12.75">
      <c r="A87" s="53"/>
      <c r="B87" s="55"/>
      <c r="C87" s="55"/>
    </row>
    <row r="88" spans="1:3" ht="12.75">
      <c r="A88" s="53"/>
      <c r="B88" s="55"/>
      <c r="C88" s="55"/>
    </row>
    <row r="89" spans="1:3" ht="12.75">
      <c r="A89" s="53"/>
      <c r="B89" s="55"/>
      <c r="C89" s="55"/>
    </row>
    <row r="90" spans="1:3" ht="12.75">
      <c r="A90" s="53"/>
      <c r="B90" s="55"/>
      <c r="C90" s="55"/>
    </row>
    <row r="91" spans="1:3" ht="12.75">
      <c r="A91" s="53"/>
      <c r="B91" s="55"/>
      <c r="C91" s="55"/>
    </row>
    <row r="92" spans="1:3" ht="12.75">
      <c r="A92" s="53"/>
      <c r="B92" s="55"/>
      <c r="C92" s="55"/>
    </row>
    <row r="93" spans="1:3" ht="12.75">
      <c r="A93" s="53"/>
      <c r="B93" s="55"/>
      <c r="C93" s="55"/>
    </row>
    <row r="94" spans="1:3" ht="12.75">
      <c r="A94" s="53"/>
      <c r="B94" s="55"/>
      <c r="C94" s="55"/>
    </row>
    <row r="95" spans="1:3" ht="12.75">
      <c r="A95" s="53"/>
      <c r="B95" s="55"/>
      <c r="C95" s="55"/>
    </row>
    <row r="96" spans="1:3" ht="12.75">
      <c r="A96" s="53"/>
      <c r="B96" s="55"/>
      <c r="C96" s="55"/>
    </row>
    <row r="97" spans="1:3" ht="12.75">
      <c r="A97" s="53"/>
      <c r="B97" s="55"/>
      <c r="C97" s="55"/>
    </row>
    <row r="98" spans="1:3" ht="12.75">
      <c r="A98" s="53"/>
      <c r="B98" s="55"/>
      <c r="C98" s="55"/>
    </row>
    <row r="99" spans="1:3" ht="12.75">
      <c r="A99" s="53"/>
      <c r="B99" s="55"/>
      <c r="C99" s="55"/>
    </row>
    <row r="100" spans="1:3" ht="12.75">
      <c r="A100" s="53"/>
      <c r="B100" s="55"/>
      <c r="C100" s="55"/>
    </row>
    <row r="101" spans="1:3" ht="12.75">
      <c r="A101" s="53"/>
      <c r="B101" s="55"/>
      <c r="C101" s="55"/>
    </row>
    <row r="102" spans="1:3" ht="12.75">
      <c r="A102" s="53"/>
      <c r="B102" s="55"/>
      <c r="C102" s="55"/>
    </row>
    <row r="103" spans="1:3" ht="12.75">
      <c r="A103" s="53"/>
      <c r="B103" s="55"/>
      <c r="C103" s="55"/>
    </row>
    <row r="104" spans="1:3" ht="12.75">
      <c r="A104" s="53"/>
      <c r="B104" s="55"/>
      <c r="C104" s="55"/>
    </row>
    <row r="105" spans="1:3" ht="12.75">
      <c r="A105" s="53"/>
      <c r="B105" s="55"/>
      <c r="C105" s="55"/>
    </row>
    <row r="106" spans="1:3" ht="12.75">
      <c r="A106" s="53"/>
      <c r="B106" s="55"/>
      <c r="C106" s="55"/>
    </row>
    <row r="107" spans="1:3" ht="12.75">
      <c r="A107" s="53"/>
      <c r="B107" s="55"/>
      <c r="C107" s="55"/>
    </row>
    <row r="108" spans="1:3" ht="12.75">
      <c r="A108" s="53"/>
      <c r="B108" s="55"/>
      <c r="C108" s="55"/>
    </row>
    <row r="109" spans="1:3" ht="12.75">
      <c r="A109" s="53"/>
      <c r="B109" s="55"/>
      <c r="C109" s="55"/>
    </row>
    <row r="110" spans="1:3" ht="12.75">
      <c r="A110" s="53"/>
      <c r="B110" s="55"/>
      <c r="C110" s="55"/>
    </row>
    <row r="111" spans="1:3" ht="12.75">
      <c r="A111" s="53"/>
      <c r="B111" s="55"/>
      <c r="C111" s="55"/>
    </row>
    <row r="112" spans="1:3" ht="12.75">
      <c r="A112" s="53"/>
      <c r="B112" s="55"/>
      <c r="C112" s="55"/>
    </row>
    <row r="113" spans="1:3" ht="12.75">
      <c r="A113" s="53"/>
      <c r="B113" s="55"/>
      <c r="C113" s="55"/>
    </row>
    <row r="114" spans="1:3" ht="12.75">
      <c r="A114" s="53"/>
      <c r="B114" s="55"/>
      <c r="C114" s="55"/>
    </row>
    <row r="115" spans="1:3" ht="12.75">
      <c r="A115" s="53"/>
      <c r="B115" s="55"/>
      <c r="C115" s="55"/>
    </row>
    <row r="116" spans="1:3" ht="12.75">
      <c r="A116" s="53"/>
      <c r="B116" s="55"/>
      <c r="C116" s="55"/>
    </row>
    <row r="117" spans="1:3" ht="12.75">
      <c r="A117" s="53"/>
      <c r="B117" s="55"/>
      <c r="C117" s="55"/>
    </row>
    <row r="118" spans="1:3" ht="12.75">
      <c r="A118" s="53"/>
      <c r="B118" s="55"/>
      <c r="C118" s="55"/>
    </row>
    <row r="119" spans="1:3" ht="12.75">
      <c r="A119" s="53"/>
      <c r="B119" s="55"/>
      <c r="C119" s="55"/>
    </row>
    <row r="120" spans="1:3" ht="12.75">
      <c r="A120" s="53"/>
      <c r="B120" s="55"/>
      <c r="C120" s="55"/>
    </row>
    <row r="121" spans="1:3" ht="12.75">
      <c r="A121" s="53"/>
      <c r="B121" s="55"/>
      <c r="C121" s="55"/>
    </row>
    <row r="122" spans="1:3" ht="12.75">
      <c r="A122" s="53"/>
      <c r="B122" s="55"/>
      <c r="C122" s="55"/>
    </row>
    <row r="123" spans="1:3" ht="12.75">
      <c r="A123" s="53"/>
      <c r="B123" s="55"/>
      <c r="C123" s="55"/>
    </row>
    <row r="124" spans="1:3" ht="12.75">
      <c r="A124" s="53"/>
      <c r="B124" s="55"/>
      <c r="C124" s="55"/>
    </row>
    <row r="125" spans="1:3" ht="12.75">
      <c r="A125" s="53"/>
      <c r="B125" s="55"/>
      <c r="C125" s="55"/>
    </row>
    <row r="126" spans="1:3" ht="12.75">
      <c r="A126" s="53"/>
      <c r="B126" s="55"/>
      <c r="C126" s="55"/>
    </row>
    <row r="127" spans="1:3" ht="12.75">
      <c r="A127" s="53"/>
      <c r="B127" s="55"/>
      <c r="C127" s="55"/>
    </row>
    <row r="128" spans="1:3" ht="12.75">
      <c r="A128" s="53"/>
      <c r="B128" s="55"/>
      <c r="C128" s="55"/>
    </row>
    <row r="129" spans="1:3" ht="12.75">
      <c r="A129" s="53"/>
      <c r="B129" s="55"/>
      <c r="C129" s="55"/>
    </row>
    <row r="130" spans="1:3" ht="12.75">
      <c r="A130" s="53"/>
      <c r="B130" s="55"/>
      <c r="C130" s="55"/>
    </row>
    <row r="131" spans="1:3" ht="12.75">
      <c r="A131" s="53"/>
      <c r="B131" s="55"/>
      <c r="C131" s="55"/>
    </row>
    <row r="132" spans="1:3" ht="12.75">
      <c r="A132" s="53"/>
      <c r="B132" s="55"/>
      <c r="C132" s="55"/>
    </row>
    <row r="133" spans="1:3" ht="12.75">
      <c r="A133" s="53"/>
      <c r="B133" s="55"/>
      <c r="C133" s="55"/>
    </row>
    <row r="134" spans="1:3" ht="12.75">
      <c r="A134" s="53"/>
      <c r="B134" s="55"/>
      <c r="C134" s="55"/>
    </row>
    <row r="135" spans="1:3" ht="12.75">
      <c r="A135" s="53"/>
      <c r="B135" s="55"/>
      <c r="C135" s="55"/>
    </row>
    <row r="136" spans="1:3" ht="12.75">
      <c r="A136" s="53"/>
      <c r="B136" s="55"/>
      <c r="C136" s="55"/>
    </row>
    <row r="137" spans="1:3" ht="12.75">
      <c r="A137" s="53"/>
      <c r="B137" s="55"/>
      <c r="C137" s="55"/>
    </row>
    <row r="138" spans="1:3" ht="12.75">
      <c r="A138" s="53"/>
      <c r="B138" s="55"/>
      <c r="C138" s="55"/>
    </row>
    <row r="139" spans="1:3" ht="12.75">
      <c r="A139" s="53"/>
      <c r="B139" s="55"/>
      <c r="C139" s="55"/>
    </row>
    <row r="140" spans="1:3" ht="12.75">
      <c r="A140" s="53"/>
      <c r="B140" s="55"/>
      <c r="C140" s="55"/>
    </row>
    <row r="141" spans="1:3" ht="12.75">
      <c r="A141" s="53"/>
      <c r="B141" s="55"/>
      <c r="C141" s="55"/>
    </row>
    <row r="142" spans="1:3" ht="12.75">
      <c r="A142" s="53"/>
      <c r="B142" s="55"/>
      <c r="C142" s="55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S35"/>
  <sheetViews>
    <sheetView showGridLines="0" zoomScalePageLayoutView="0" workbookViewId="0" topLeftCell="A1">
      <pane xSplit="2" ySplit="4" topLeftCell="C21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3" sqref="A13"/>
    </sheetView>
  </sheetViews>
  <sheetFormatPr defaultColWidth="8.875" defaultRowHeight="12.75" outlineLevelRow="1" outlineLevelCol="1"/>
  <cols>
    <col min="1" max="1" width="35.00390625" style="78" customWidth="1"/>
    <col min="2" max="2" width="10.00390625" style="78" customWidth="1"/>
    <col min="3" max="3" width="9.00390625" style="78" customWidth="1"/>
    <col min="4" max="4" width="10.00390625" style="78" customWidth="1"/>
    <col min="5" max="5" width="7.375" style="78" bestFit="1" customWidth="1" outlineLevel="1"/>
    <col min="6" max="6" width="6.75390625" style="78" customWidth="1" outlineLevel="1"/>
    <col min="7" max="7" width="6.375" style="78" bestFit="1" customWidth="1" outlineLevel="1"/>
    <col min="8" max="8" width="6.25390625" style="78" hidden="1" customWidth="1" outlineLevel="1"/>
    <col min="9" max="11" width="6.375" style="78" hidden="1" customWidth="1" outlineLevel="1"/>
    <col min="12" max="16" width="7.25390625" style="78" hidden="1" customWidth="1" outlineLevel="1"/>
    <col min="17" max="17" width="10.125" style="78" customWidth="1" collapsed="1"/>
    <col min="18" max="18" width="8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66</v>
      </c>
      <c r="B2" s="181"/>
      <c r="Q2" s="152" t="s">
        <v>65</v>
      </c>
      <c r="R2" s="212"/>
      <c r="S2" s="179"/>
    </row>
    <row r="3" spans="2:19" ht="17.25" customHeight="1">
      <c r="B3" s="212"/>
      <c r="C3" s="212"/>
      <c r="E3" s="290">
        <v>2012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93" t="s">
        <v>0</v>
      </c>
      <c r="R3" s="212"/>
      <c r="S3" s="213"/>
    </row>
    <row r="4" spans="1:17" ht="27" customHeight="1">
      <c r="A4" s="263" t="s">
        <v>295</v>
      </c>
      <c r="B4" s="214" t="s">
        <v>230</v>
      </c>
      <c r="C4" s="214" t="s">
        <v>231</v>
      </c>
      <c r="D4" s="243" t="s">
        <v>227</v>
      </c>
      <c r="E4" s="215">
        <v>1</v>
      </c>
      <c r="F4" s="215">
        <v>2</v>
      </c>
      <c r="G4" s="215">
        <v>3</v>
      </c>
      <c r="H4" s="215">
        <v>4</v>
      </c>
      <c r="I4" s="215">
        <v>5</v>
      </c>
      <c r="J4" s="215">
        <v>6</v>
      </c>
      <c r="K4" s="215">
        <v>7</v>
      </c>
      <c r="L4" s="215">
        <v>8</v>
      </c>
      <c r="M4" s="215">
        <v>9</v>
      </c>
      <c r="N4" s="215">
        <v>10</v>
      </c>
      <c r="O4" s="215">
        <v>11</v>
      </c>
      <c r="P4" s="215">
        <v>12</v>
      </c>
      <c r="Q4" s="95">
        <v>2012</v>
      </c>
    </row>
    <row r="5" spans="1:17" s="62" customFormat="1" ht="12.75" hidden="1">
      <c r="A5" s="216" t="s">
        <v>292</v>
      </c>
      <c r="B5" s="217"/>
      <c r="C5" s="217"/>
      <c r="D5" s="148">
        <f aca="true" t="shared" si="0" ref="D5:P5">SUM(D7:D8)</f>
        <v>0</v>
      </c>
      <c r="E5" s="148">
        <f t="shared" si="0"/>
        <v>0</v>
      </c>
      <c r="F5" s="148">
        <f t="shared" si="0"/>
        <v>0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  <c r="M5" s="148">
        <f t="shared" si="0"/>
        <v>0</v>
      </c>
      <c r="N5" s="148">
        <f t="shared" si="0"/>
        <v>0</v>
      </c>
      <c r="O5" s="148">
        <f t="shared" si="0"/>
        <v>0</v>
      </c>
      <c r="P5" s="148">
        <f t="shared" si="0"/>
        <v>0</v>
      </c>
      <c r="Q5" s="148">
        <f>SUM(E5:P5)</f>
        <v>0</v>
      </c>
    </row>
    <row r="6" spans="1:17" ht="12.75" hidden="1" outlineLevel="1">
      <c r="A6" s="218"/>
      <c r="B6" s="219"/>
      <c r="C6" s="219"/>
      <c r="D6" s="161">
        <f>B6*C6</f>
        <v>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12.75" hidden="1" outlineLevel="1">
      <c r="A7" s="218"/>
      <c r="B7" s="86"/>
      <c r="C7" s="149"/>
      <c r="D7" s="161">
        <f>B7*C7</f>
        <v>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>
        <f>SUM(E7:P7)</f>
        <v>0</v>
      </c>
    </row>
    <row r="8" spans="1:17" ht="12.75" hidden="1" outlineLevel="1">
      <c r="A8" s="218"/>
      <c r="B8" s="149"/>
      <c r="C8" s="149"/>
      <c r="D8" s="161">
        <f>B8*C8</f>
        <v>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pans="1:19" ht="12.75" collapsed="1">
      <c r="A9" s="216" t="s">
        <v>123</v>
      </c>
      <c r="B9" s="217"/>
      <c r="C9" s="217"/>
      <c r="D9" s="148">
        <f>SUM(D10:D29)</f>
        <v>13984.425000000001</v>
      </c>
      <c r="E9" s="148">
        <f aca="true" t="shared" si="1" ref="E9:Q9">SUM(E10:E29)</f>
        <v>5442.212500000001</v>
      </c>
      <c r="F9" s="148">
        <f t="shared" si="1"/>
        <v>6992.212500000001</v>
      </c>
      <c r="G9" s="148">
        <f t="shared" si="1"/>
        <v>1550</v>
      </c>
      <c r="H9" s="148">
        <f t="shared" si="1"/>
        <v>0</v>
      </c>
      <c r="I9" s="148">
        <f t="shared" si="1"/>
        <v>0</v>
      </c>
      <c r="J9" s="148">
        <f t="shared" si="1"/>
        <v>0</v>
      </c>
      <c r="K9" s="148">
        <f t="shared" si="1"/>
        <v>0</v>
      </c>
      <c r="L9" s="148">
        <f t="shared" si="1"/>
        <v>0</v>
      </c>
      <c r="M9" s="148">
        <f t="shared" si="1"/>
        <v>0</v>
      </c>
      <c r="N9" s="148">
        <f t="shared" si="1"/>
        <v>0</v>
      </c>
      <c r="O9" s="148">
        <f t="shared" si="1"/>
        <v>0</v>
      </c>
      <c r="P9" s="148">
        <f t="shared" si="1"/>
        <v>0</v>
      </c>
      <c r="Q9" s="148">
        <f t="shared" si="1"/>
        <v>13984.425000000001</v>
      </c>
      <c r="S9" s="244" t="s">
        <v>233</v>
      </c>
    </row>
    <row r="10" spans="1:17" ht="12.75" outlineLevel="1">
      <c r="A10" s="220" t="s">
        <v>307</v>
      </c>
      <c r="B10" s="149">
        <v>40</v>
      </c>
      <c r="C10" s="149">
        <f>7315*Исх!$C$6/1000</f>
        <v>36.575</v>
      </c>
      <c r="D10" s="161">
        <f aca="true" t="shared" si="2" ref="D10:D29">B10*C10</f>
        <v>1463</v>
      </c>
      <c r="E10" s="161">
        <f>$D10/2</f>
        <v>731.5</v>
      </c>
      <c r="F10" s="161">
        <f>$D10/2</f>
        <v>731.5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2">
        <f aca="true" t="shared" si="3" ref="Q10:Q20">SUM(E10:P10)</f>
        <v>1463</v>
      </c>
    </row>
    <row r="11" spans="1:17" ht="12.75" outlineLevel="1">
      <c r="A11" s="220" t="s">
        <v>308</v>
      </c>
      <c r="B11" s="149">
        <v>40</v>
      </c>
      <c r="C11" s="149">
        <f>1865*Исх!$C$6/1000</f>
        <v>9.325</v>
      </c>
      <c r="D11" s="161">
        <f>B11*C11</f>
        <v>373</v>
      </c>
      <c r="E11" s="161">
        <f>$D11/2</f>
        <v>186.5</v>
      </c>
      <c r="F11" s="161">
        <f>$D11/2</f>
        <v>186.5</v>
      </c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2">
        <f t="shared" si="3"/>
        <v>373</v>
      </c>
    </row>
    <row r="12" spans="1:17" ht="12.75" outlineLevel="1">
      <c r="A12" s="220" t="s">
        <v>236</v>
      </c>
      <c r="B12" s="149">
        <v>10</v>
      </c>
      <c r="C12" s="149">
        <f>8.7*Исх!C6</f>
        <v>43.5</v>
      </c>
      <c r="D12" s="161">
        <f t="shared" si="2"/>
        <v>435</v>
      </c>
      <c r="E12" s="161">
        <f aca="true" t="shared" si="4" ref="E12:F25">$D12/2</f>
        <v>217.5</v>
      </c>
      <c r="F12" s="161">
        <f t="shared" si="4"/>
        <v>217.5</v>
      </c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>
        <f t="shared" si="3"/>
        <v>435</v>
      </c>
    </row>
    <row r="13" spans="1:17" ht="12.75" outlineLevel="1">
      <c r="A13" s="220" t="s">
        <v>229</v>
      </c>
      <c r="B13" s="149">
        <v>4</v>
      </c>
      <c r="C13" s="149">
        <f>22.675*Исх!$C$6</f>
        <v>113.375</v>
      </c>
      <c r="D13" s="161">
        <f t="shared" si="2"/>
        <v>453.5</v>
      </c>
      <c r="E13" s="161">
        <f t="shared" si="4"/>
        <v>226.75</v>
      </c>
      <c r="F13" s="161">
        <f t="shared" si="4"/>
        <v>226.75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>
        <f t="shared" si="3"/>
        <v>453.5</v>
      </c>
    </row>
    <row r="14" spans="1:17" ht="12.75" outlineLevel="1">
      <c r="A14" s="220" t="s">
        <v>228</v>
      </c>
      <c r="B14" s="149">
        <v>4</v>
      </c>
      <c r="C14" s="149">
        <f>89.38*Исх!$C$6</f>
        <v>446.9</v>
      </c>
      <c r="D14" s="161">
        <f t="shared" si="2"/>
        <v>1787.6</v>
      </c>
      <c r="E14" s="161">
        <f t="shared" si="4"/>
        <v>893.8</v>
      </c>
      <c r="F14" s="161">
        <f t="shared" si="4"/>
        <v>893.8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2">
        <f t="shared" si="3"/>
        <v>1787.6</v>
      </c>
    </row>
    <row r="15" spans="1:17" ht="12.75" outlineLevel="1">
      <c r="A15" s="220" t="s">
        <v>241</v>
      </c>
      <c r="B15" s="149">
        <v>2</v>
      </c>
      <c r="C15" s="149">
        <f>37.53*Исх!$C$6</f>
        <v>187.65</v>
      </c>
      <c r="D15" s="161">
        <f t="shared" si="2"/>
        <v>375.3</v>
      </c>
      <c r="E15" s="161">
        <f t="shared" si="4"/>
        <v>187.65</v>
      </c>
      <c r="F15" s="161">
        <f t="shared" si="4"/>
        <v>187.65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2">
        <f t="shared" si="3"/>
        <v>375.3</v>
      </c>
    </row>
    <row r="16" spans="1:17" ht="12.75" outlineLevel="1">
      <c r="A16" s="220" t="s">
        <v>234</v>
      </c>
      <c r="B16" s="149">
        <v>30</v>
      </c>
      <c r="C16" s="149">
        <f>8.575*Исх!$C$6</f>
        <v>42.875</v>
      </c>
      <c r="D16" s="161">
        <f t="shared" si="2"/>
        <v>1286.25</v>
      </c>
      <c r="E16" s="161">
        <f t="shared" si="4"/>
        <v>643.125</v>
      </c>
      <c r="F16" s="161">
        <f t="shared" si="4"/>
        <v>643.125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>
        <f t="shared" si="3"/>
        <v>1286.25</v>
      </c>
    </row>
    <row r="17" spans="1:17" ht="12.75" outlineLevel="1">
      <c r="A17" s="220" t="s">
        <v>235</v>
      </c>
      <c r="B17" s="149">
        <v>30</v>
      </c>
      <c r="C17" s="149">
        <f>16.215*Исх!$C$6</f>
        <v>81.075</v>
      </c>
      <c r="D17" s="161">
        <f t="shared" si="2"/>
        <v>2432.25</v>
      </c>
      <c r="E17" s="161">
        <f t="shared" si="4"/>
        <v>1216.125</v>
      </c>
      <c r="F17" s="161">
        <f t="shared" si="4"/>
        <v>1216.125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2">
        <f t="shared" si="3"/>
        <v>2432.25</v>
      </c>
    </row>
    <row r="18" spans="1:17" ht="12.75" outlineLevel="1">
      <c r="A18" s="220" t="s">
        <v>238</v>
      </c>
      <c r="B18" s="149">
        <v>10</v>
      </c>
      <c r="C18" s="149">
        <f>8.25*Исх!$C$6</f>
        <v>41.25</v>
      </c>
      <c r="D18" s="161">
        <f t="shared" si="2"/>
        <v>412.5</v>
      </c>
      <c r="E18" s="161">
        <f t="shared" si="4"/>
        <v>206.25</v>
      </c>
      <c r="F18" s="161">
        <f t="shared" si="4"/>
        <v>206.25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>
        <f t="shared" si="3"/>
        <v>412.5</v>
      </c>
    </row>
    <row r="19" spans="1:17" ht="12.75" outlineLevel="1">
      <c r="A19" s="220" t="s">
        <v>239</v>
      </c>
      <c r="B19" s="149">
        <v>7</v>
      </c>
      <c r="C19" s="149">
        <f>5.44*Исх!$C$6</f>
        <v>27.200000000000003</v>
      </c>
      <c r="D19" s="161">
        <f t="shared" si="2"/>
        <v>190.40000000000003</v>
      </c>
      <c r="E19" s="161">
        <f t="shared" si="4"/>
        <v>95.20000000000002</v>
      </c>
      <c r="F19" s="161">
        <f t="shared" si="4"/>
        <v>95.20000000000002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2">
        <f t="shared" si="3"/>
        <v>190.40000000000003</v>
      </c>
    </row>
    <row r="20" spans="1:17" ht="12.75" outlineLevel="1">
      <c r="A20" s="220" t="s">
        <v>240</v>
      </c>
      <c r="B20" s="149">
        <v>120</v>
      </c>
      <c r="C20" s="149">
        <f>0.635*Исх!$C$6</f>
        <v>3.175</v>
      </c>
      <c r="D20" s="161">
        <f t="shared" si="2"/>
        <v>381</v>
      </c>
      <c r="E20" s="161">
        <f t="shared" si="4"/>
        <v>190.5</v>
      </c>
      <c r="F20" s="161">
        <f t="shared" si="4"/>
        <v>190.5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>
        <f t="shared" si="3"/>
        <v>381</v>
      </c>
    </row>
    <row r="21" spans="1:17" ht="12.75" outlineLevel="1">
      <c r="A21" s="220" t="s">
        <v>242</v>
      </c>
      <c r="B21" s="149">
        <v>3</v>
      </c>
      <c r="C21" s="149">
        <f>19.1*Исх!$C$6</f>
        <v>95.5</v>
      </c>
      <c r="D21" s="161">
        <f t="shared" si="2"/>
        <v>286.5</v>
      </c>
      <c r="E21" s="161">
        <f t="shared" si="4"/>
        <v>143.25</v>
      </c>
      <c r="F21" s="161">
        <f t="shared" si="4"/>
        <v>143.25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>
        <f aca="true" t="shared" si="5" ref="Q21:Q28">SUM(E21:P21)</f>
        <v>286.5</v>
      </c>
    </row>
    <row r="22" spans="1:17" ht="12.75" outlineLevel="1">
      <c r="A22" s="220" t="s">
        <v>243</v>
      </c>
      <c r="B22" s="149">
        <v>4</v>
      </c>
      <c r="C22" s="149">
        <f>15.67*Исх!$C$6</f>
        <v>78.35</v>
      </c>
      <c r="D22" s="161">
        <f t="shared" si="2"/>
        <v>313.4</v>
      </c>
      <c r="E22" s="161">
        <f t="shared" si="4"/>
        <v>156.7</v>
      </c>
      <c r="F22" s="161">
        <f t="shared" si="4"/>
        <v>156.7</v>
      </c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2">
        <f t="shared" si="5"/>
        <v>313.4</v>
      </c>
    </row>
    <row r="23" spans="1:17" ht="12.75" outlineLevel="1">
      <c r="A23" s="220" t="s">
        <v>244</v>
      </c>
      <c r="B23" s="149">
        <v>5</v>
      </c>
      <c r="C23" s="149">
        <f>13.245*Исх!$C$6</f>
        <v>66.225</v>
      </c>
      <c r="D23" s="161">
        <f t="shared" si="2"/>
        <v>331.125</v>
      </c>
      <c r="E23" s="161">
        <f t="shared" si="4"/>
        <v>165.5625</v>
      </c>
      <c r="F23" s="161">
        <f t="shared" si="4"/>
        <v>165.5625</v>
      </c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>
        <f t="shared" si="5"/>
        <v>331.125</v>
      </c>
    </row>
    <row r="24" spans="1:17" ht="12.75" outlineLevel="1">
      <c r="A24" s="220" t="s">
        <v>245</v>
      </c>
      <c r="B24" s="149">
        <v>1</v>
      </c>
      <c r="C24" s="149">
        <f>34.07*Исх!C6</f>
        <v>170.35</v>
      </c>
      <c r="D24" s="161">
        <f t="shared" si="2"/>
        <v>170.35</v>
      </c>
      <c r="E24" s="161">
        <f t="shared" si="4"/>
        <v>85.175</v>
      </c>
      <c r="F24" s="161">
        <f t="shared" si="4"/>
        <v>85.175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2">
        <f>SUM(E24:P24)</f>
        <v>170.35</v>
      </c>
    </row>
    <row r="25" spans="1:17" ht="12.75" outlineLevel="1">
      <c r="A25" s="220" t="s">
        <v>246</v>
      </c>
      <c r="B25" s="149">
        <v>5</v>
      </c>
      <c r="C25" s="149">
        <f>7.73*Исх!C6</f>
        <v>38.650000000000006</v>
      </c>
      <c r="D25" s="161">
        <f t="shared" si="2"/>
        <v>193.25000000000003</v>
      </c>
      <c r="E25" s="161">
        <f t="shared" si="4"/>
        <v>96.62500000000001</v>
      </c>
      <c r="F25" s="161">
        <f t="shared" si="4"/>
        <v>96.62500000000001</v>
      </c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>
        <f>SUM(E25:P25)</f>
        <v>193.25000000000003</v>
      </c>
    </row>
    <row r="26" spans="1:17" ht="12.75" outlineLevel="1">
      <c r="A26" s="220" t="s">
        <v>247</v>
      </c>
      <c r="B26" s="149">
        <v>1</v>
      </c>
      <c r="C26" s="149">
        <v>1500</v>
      </c>
      <c r="D26" s="161">
        <f t="shared" si="2"/>
        <v>1500</v>
      </c>
      <c r="E26" s="161"/>
      <c r="F26" s="161">
        <f aca="true" t="shared" si="6" ref="F26:G28">$D26/2</f>
        <v>750</v>
      </c>
      <c r="G26" s="161">
        <f t="shared" si="6"/>
        <v>750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2">
        <f>SUM(E26:P26)</f>
        <v>1500</v>
      </c>
    </row>
    <row r="27" spans="1:17" ht="12.75" outlineLevel="1">
      <c r="A27" s="220" t="s">
        <v>309</v>
      </c>
      <c r="B27" s="149">
        <v>2</v>
      </c>
      <c r="C27" s="149">
        <v>50</v>
      </c>
      <c r="D27" s="161">
        <f>B27*C27</f>
        <v>100</v>
      </c>
      <c r="E27" s="161"/>
      <c r="F27" s="161">
        <f t="shared" si="6"/>
        <v>50</v>
      </c>
      <c r="G27" s="161">
        <f t="shared" si="6"/>
        <v>50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2">
        <f>SUM(E27:P27)</f>
        <v>100</v>
      </c>
    </row>
    <row r="28" spans="1:17" ht="12.75" outlineLevel="1">
      <c r="A28" s="220" t="s">
        <v>248</v>
      </c>
      <c r="B28" s="149">
        <v>1</v>
      </c>
      <c r="C28" s="149">
        <v>1500</v>
      </c>
      <c r="D28" s="161">
        <f t="shared" si="2"/>
        <v>1500</v>
      </c>
      <c r="E28" s="161"/>
      <c r="F28" s="161">
        <f t="shared" si="6"/>
        <v>750</v>
      </c>
      <c r="G28" s="161">
        <f t="shared" si="6"/>
        <v>750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2">
        <f t="shared" si="5"/>
        <v>1500</v>
      </c>
    </row>
    <row r="29" spans="1:17" ht="12.75" outlineLevel="1">
      <c r="A29" s="220"/>
      <c r="B29" s="149"/>
      <c r="C29" s="149"/>
      <c r="D29" s="161">
        <f t="shared" si="2"/>
        <v>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>
        <f>SUM(E29:P29)</f>
        <v>0</v>
      </c>
    </row>
    <row r="30" spans="1:17" ht="12.75">
      <c r="A30" s="145" t="s">
        <v>0</v>
      </c>
      <c r="B30" s="175"/>
      <c r="C30" s="175"/>
      <c r="D30" s="175">
        <f>D5+D9</f>
        <v>13984.425000000001</v>
      </c>
      <c r="E30" s="175">
        <f aca="true" t="shared" si="7" ref="E30:Q30">E5+E9</f>
        <v>5442.212500000001</v>
      </c>
      <c r="F30" s="175">
        <f t="shared" si="7"/>
        <v>6992.212500000001</v>
      </c>
      <c r="G30" s="175">
        <f t="shared" si="7"/>
        <v>1550</v>
      </c>
      <c r="H30" s="175">
        <f t="shared" si="7"/>
        <v>0</v>
      </c>
      <c r="I30" s="175">
        <f t="shared" si="7"/>
        <v>0</v>
      </c>
      <c r="J30" s="175">
        <f t="shared" si="7"/>
        <v>0</v>
      </c>
      <c r="K30" s="175">
        <f t="shared" si="7"/>
        <v>0</v>
      </c>
      <c r="L30" s="175">
        <f t="shared" si="7"/>
        <v>0</v>
      </c>
      <c r="M30" s="175">
        <f t="shared" si="7"/>
        <v>0</v>
      </c>
      <c r="N30" s="175">
        <f t="shared" si="7"/>
        <v>0</v>
      </c>
      <c r="O30" s="175">
        <f t="shared" si="7"/>
        <v>0</v>
      </c>
      <c r="P30" s="175">
        <f t="shared" si="7"/>
        <v>0</v>
      </c>
      <c r="Q30" s="175">
        <f t="shared" si="7"/>
        <v>13984.425000000001</v>
      </c>
    </row>
    <row r="31" ht="12.75">
      <c r="D31" s="212">
        <f>D30-Q30</f>
        <v>0</v>
      </c>
    </row>
    <row r="32" spans="2:4" ht="12.75">
      <c r="B32" s="152" t="s">
        <v>65</v>
      </c>
      <c r="C32" s="212" t="s">
        <v>47</v>
      </c>
      <c r="D32" s="221" t="s">
        <v>108</v>
      </c>
    </row>
    <row r="33" spans="1:12" ht="12.75">
      <c r="A33" s="78" t="s">
        <v>146</v>
      </c>
      <c r="B33" s="212">
        <f>Q5</f>
        <v>0</v>
      </c>
      <c r="C33" s="212">
        <f>B33/Исх!$C$18</f>
        <v>0</v>
      </c>
      <c r="D33" s="176">
        <f>B33/Исх!$C$5</f>
        <v>0</v>
      </c>
      <c r="L33" s="181"/>
    </row>
    <row r="34" spans="1:12" ht="12.75">
      <c r="A34" s="78" t="s">
        <v>123</v>
      </c>
      <c r="B34" s="212">
        <f>Q9</f>
        <v>13984.425000000001</v>
      </c>
      <c r="C34" s="212">
        <f>B34/Исх!$C$18</f>
        <v>12486.09375</v>
      </c>
      <c r="D34" s="176">
        <f>B34/Исх!$C$5</f>
        <v>94.48935810810812</v>
      </c>
      <c r="L34" s="181"/>
    </row>
    <row r="35" spans="1:4" ht="12.75">
      <c r="A35" s="62" t="s">
        <v>96</v>
      </c>
      <c r="B35" s="222">
        <f>SUM(B33:B34)</f>
        <v>13984.425000000001</v>
      </c>
      <c r="C35" s="222">
        <f>SUM(C33:C34)</f>
        <v>12486.09375</v>
      </c>
      <c r="D35" s="222">
        <f>SUM(D33:D34)</f>
        <v>94.48935810810812</v>
      </c>
    </row>
  </sheetData>
  <sheetProtection/>
  <mergeCells count="1">
    <mergeCell ref="E3:P3"/>
  </mergeCells>
  <hyperlinks>
    <hyperlink ref="S9" r:id="rId1" display="http://www.pcarlo.ru/pricelist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B4" sqref="B4:B13"/>
    </sheetView>
  </sheetViews>
  <sheetFormatPr defaultColWidth="9.00390625" defaultRowHeight="12.75"/>
  <cols>
    <col min="1" max="1" width="38.625" style="78" customWidth="1"/>
    <col min="2" max="2" width="10.00390625" style="78" bestFit="1" customWidth="1"/>
    <col min="3" max="16384" width="9.125" style="78" customWidth="1"/>
  </cols>
  <sheetData>
    <row r="1" spans="1:6" ht="12.75">
      <c r="A1" s="62" t="s">
        <v>81</v>
      </c>
      <c r="B1" s="62"/>
      <c r="C1" s="62"/>
      <c r="D1" s="62"/>
      <c r="E1" s="62"/>
      <c r="F1" s="62"/>
    </row>
    <row r="2" spans="1:8" ht="12.75">
      <c r="A2" s="223"/>
      <c r="B2" s="223"/>
      <c r="C2" s="223"/>
      <c r="D2" s="223"/>
      <c r="E2" s="223"/>
      <c r="F2" s="223"/>
      <c r="H2" s="152" t="s">
        <v>65</v>
      </c>
    </row>
    <row r="3" spans="1:8" ht="12.75">
      <c r="A3" s="235" t="s">
        <v>10</v>
      </c>
      <c r="B3" s="264">
        <v>2012</v>
      </c>
      <c r="C3" s="264">
        <f aca="true" t="shared" si="0" ref="C3:H3">B3+1</f>
        <v>2013</v>
      </c>
      <c r="D3" s="264">
        <f t="shared" si="0"/>
        <v>2014</v>
      </c>
      <c r="E3" s="264">
        <f t="shared" si="0"/>
        <v>2015</v>
      </c>
      <c r="F3" s="264">
        <f t="shared" si="0"/>
        <v>2016</v>
      </c>
      <c r="G3" s="264">
        <f t="shared" si="0"/>
        <v>2017</v>
      </c>
      <c r="H3" s="264">
        <f t="shared" si="0"/>
        <v>2018</v>
      </c>
    </row>
    <row r="4" spans="1:8" ht="12.75">
      <c r="A4" s="224" t="s">
        <v>149</v>
      </c>
      <c r="B4" s="225">
        <f>'2-ф2'!P5</f>
        <v>36053.57142857143</v>
      </c>
      <c r="C4" s="225">
        <f>'2-ф2'!AC5</f>
        <v>62946.42857142856</v>
      </c>
      <c r="D4" s="225">
        <f>'2-ф2'!AD5</f>
        <v>64285.71428571428</v>
      </c>
      <c r="E4" s="225">
        <f>'2-ф2'!AE5</f>
        <v>64285.71428571428</v>
      </c>
      <c r="F4" s="225">
        <f>'2-ф2'!AF5</f>
        <v>64285.71428571428</v>
      </c>
      <c r="G4" s="225">
        <f>'2-ф2'!AG5</f>
        <v>64285.71428571428</v>
      </c>
      <c r="H4" s="225">
        <f>'2-ф2'!AH5</f>
        <v>64285.71428571428</v>
      </c>
    </row>
    <row r="5" spans="1:8" ht="12.75">
      <c r="A5" s="224" t="s">
        <v>97</v>
      </c>
      <c r="B5" s="226">
        <f aca="true" t="shared" si="1" ref="B5:H5">B4-B6</f>
        <v>-4620.184140378231</v>
      </c>
      <c r="C5" s="226">
        <f t="shared" si="1"/>
        <v>5430.923009728409</v>
      </c>
      <c r="D5" s="226">
        <f t="shared" si="1"/>
        <v>6689.702988595898</v>
      </c>
      <c r="E5" s="226">
        <f t="shared" si="1"/>
        <v>6930.625824606235</v>
      </c>
      <c r="F5" s="226">
        <f t="shared" si="1"/>
        <v>7171.54866061658</v>
      </c>
      <c r="G5" s="226">
        <f t="shared" si="1"/>
        <v>7412.471496626917</v>
      </c>
      <c r="H5" s="226">
        <f t="shared" si="1"/>
        <v>7653.394332637254</v>
      </c>
    </row>
    <row r="6" spans="1:8" ht="12.75">
      <c r="A6" s="224" t="s">
        <v>168</v>
      </c>
      <c r="B6" s="227">
        <f aca="true" t="shared" si="2" ref="B6:H6">SUM(B7:B8)</f>
        <v>40673.75556894966</v>
      </c>
      <c r="C6" s="227">
        <f t="shared" si="2"/>
        <v>57515.50556170015</v>
      </c>
      <c r="D6" s="227">
        <f t="shared" si="2"/>
        <v>57596.011297118384</v>
      </c>
      <c r="E6" s="227">
        <f t="shared" si="2"/>
        <v>57355.08846110805</v>
      </c>
      <c r="F6" s="227">
        <f t="shared" si="2"/>
        <v>57114.1656250977</v>
      </c>
      <c r="G6" s="227">
        <f t="shared" si="2"/>
        <v>56873.242789087366</v>
      </c>
      <c r="H6" s="227">
        <f t="shared" si="2"/>
        <v>56632.31995307703</v>
      </c>
    </row>
    <row r="7" spans="1:8" ht="12.75">
      <c r="A7" s="224" t="s">
        <v>98</v>
      </c>
      <c r="B7" s="225">
        <f>'2-ф2'!P14+'2-ф2'!P13+'2-ф2'!P12</f>
        <v>32020.898426092517</v>
      </c>
      <c r="C7" s="225">
        <f>'2-ф2'!AC14+'2-ф2'!AC13+'2-ф2'!AC12</f>
        <v>42408.362704557294</v>
      </c>
      <c r="D7" s="225">
        <f>'2-ф2'!AD14+'2-ф2'!AD13+'2-ф2'!AD12</f>
        <v>42167.43986854696</v>
      </c>
      <c r="E7" s="225">
        <f>'2-ф2'!AE14+'2-ф2'!AE13+'2-ф2'!AE12</f>
        <v>41926.51703253662</v>
      </c>
      <c r="F7" s="225">
        <f>'2-ф2'!AF14+'2-ф2'!AF13+'2-ф2'!AF12</f>
        <v>41685.594196526275</v>
      </c>
      <c r="G7" s="225">
        <f>'2-ф2'!AG14+'2-ф2'!AG13+'2-ф2'!AG12</f>
        <v>41444.67136051594</v>
      </c>
      <c r="H7" s="225">
        <f>'2-ф2'!AH14+'2-ф2'!AH13+'2-ф2'!AH12</f>
        <v>41203.7485245056</v>
      </c>
    </row>
    <row r="8" spans="1:8" ht="12.75">
      <c r="A8" s="224" t="s">
        <v>99</v>
      </c>
      <c r="B8" s="225">
        <f>'2-ф2'!P8</f>
        <v>8652.857142857141</v>
      </c>
      <c r="C8" s="225">
        <f>'2-ф2'!AC8</f>
        <v>15107.142857142859</v>
      </c>
      <c r="D8" s="225">
        <f>'2-ф2'!AD8</f>
        <v>15428.571428571428</v>
      </c>
      <c r="E8" s="225">
        <f>'2-ф2'!AE8</f>
        <v>15428.571428571428</v>
      </c>
      <c r="F8" s="225">
        <f>'2-ф2'!AF8</f>
        <v>15428.571428571428</v>
      </c>
      <c r="G8" s="225">
        <f>'2-ф2'!AG8</f>
        <v>15428.571428571428</v>
      </c>
      <c r="H8" s="225">
        <f>'2-ф2'!AH8</f>
        <v>15428.571428571428</v>
      </c>
    </row>
    <row r="9" spans="1:8" ht="12.75">
      <c r="A9" s="224" t="s">
        <v>100</v>
      </c>
      <c r="B9" s="227">
        <f aca="true" t="shared" si="3" ref="B9:H9">B4-B8</f>
        <v>27400.714285714286</v>
      </c>
      <c r="C9" s="227">
        <f t="shared" si="3"/>
        <v>47839.285714285696</v>
      </c>
      <c r="D9" s="227">
        <f t="shared" si="3"/>
        <v>48857.142857142855</v>
      </c>
      <c r="E9" s="227">
        <f t="shared" si="3"/>
        <v>48857.142857142855</v>
      </c>
      <c r="F9" s="227">
        <f t="shared" si="3"/>
        <v>48857.142857142855</v>
      </c>
      <c r="G9" s="227">
        <f t="shared" si="3"/>
        <v>48857.142857142855</v>
      </c>
      <c r="H9" s="227">
        <f t="shared" si="3"/>
        <v>48857.142857142855</v>
      </c>
    </row>
    <row r="10" spans="1:8" ht="12.75">
      <c r="A10" s="224" t="s">
        <v>82</v>
      </c>
      <c r="B10" s="228">
        <f aca="true" t="shared" si="4" ref="B10:H10">B9/B4</f>
        <v>0.76</v>
      </c>
      <c r="C10" s="228">
        <f t="shared" si="4"/>
        <v>0.7599999999999999</v>
      </c>
      <c r="D10" s="228">
        <f t="shared" si="4"/>
        <v>0.76</v>
      </c>
      <c r="E10" s="228">
        <f t="shared" si="4"/>
        <v>0.76</v>
      </c>
      <c r="F10" s="228">
        <f t="shared" si="4"/>
        <v>0.76</v>
      </c>
      <c r="G10" s="228">
        <f t="shared" si="4"/>
        <v>0.76</v>
      </c>
      <c r="H10" s="228">
        <f t="shared" si="4"/>
        <v>0.76</v>
      </c>
    </row>
    <row r="11" spans="1:8" ht="12.75">
      <c r="A11" s="224" t="s">
        <v>101</v>
      </c>
      <c r="B11" s="227">
        <f aca="true" t="shared" si="5" ref="B11:H11">B7/B10</f>
        <v>42132.76108696384</v>
      </c>
      <c r="C11" s="227">
        <f t="shared" si="5"/>
        <v>55800.477242838555</v>
      </c>
      <c r="D11" s="227">
        <f t="shared" si="5"/>
        <v>55483.473511246</v>
      </c>
      <c r="E11" s="227">
        <f t="shared" si="5"/>
        <v>55166.469779653446</v>
      </c>
      <c r="F11" s="227">
        <f t="shared" si="5"/>
        <v>54849.46604806089</v>
      </c>
      <c r="G11" s="227">
        <f t="shared" si="5"/>
        <v>54532.462316468336</v>
      </c>
      <c r="H11" s="227">
        <f t="shared" si="5"/>
        <v>54215.45858487579</v>
      </c>
    </row>
    <row r="12" spans="1:8" ht="25.5">
      <c r="A12" s="229" t="s">
        <v>83</v>
      </c>
      <c r="B12" s="230">
        <f aca="true" t="shared" si="6" ref="B12:H12">(B4-B11)/B4</f>
        <v>-0.1686154635314388</v>
      </c>
      <c r="C12" s="230">
        <f t="shared" si="6"/>
        <v>0.11352433316341567</v>
      </c>
      <c r="D12" s="230">
        <f t="shared" si="6"/>
        <v>0.1369237453806178</v>
      </c>
      <c r="E12" s="230">
        <f t="shared" si="6"/>
        <v>0.14185491453872415</v>
      </c>
      <c r="F12" s="230">
        <f t="shared" si="6"/>
        <v>0.1467860836968306</v>
      </c>
      <c r="G12" s="230">
        <f t="shared" si="6"/>
        <v>0.15171725285493695</v>
      </c>
      <c r="H12" s="230">
        <f t="shared" si="6"/>
        <v>0.1566484220130432</v>
      </c>
    </row>
    <row r="13" spans="1:8" ht="12.75">
      <c r="A13" s="224" t="s">
        <v>119</v>
      </c>
      <c r="B13" s="231">
        <f aca="true" t="shared" si="7" ref="B13:H13">100%-B12</f>
        <v>1.1686154635314387</v>
      </c>
      <c r="C13" s="231">
        <f t="shared" si="7"/>
        <v>0.8864756668365843</v>
      </c>
      <c r="D13" s="231">
        <f t="shared" si="7"/>
        <v>0.8630762546193822</v>
      </c>
      <c r="E13" s="231">
        <f t="shared" si="7"/>
        <v>0.8581450854612759</v>
      </c>
      <c r="F13" s="231">
        <f t="shared" si="7"/>
        <v>0.8532139163031693</v>
      </c>
      <c r="G13" s="231">
        <f t="shared" si="7"/>
        <v>0.848282747145063</v>
      </c>
      <c r="H13" s="231">
        <f t="shared" si="7"/>
        <v>0.8433515779869568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G51"/>
  <sheetViews>
    <sheetView showGridLines="0" tabSelected="1" zoomScalePageLayoutView="0" workbookViewId="0" topLeftCell="A1">
      <pane ySplit="2" topLeftCell="A3" activePane="bottomLeft" state="frozen"/>
      <selection pane="topLeft" activeCell="A34" sqref="A34"/>
      <selection pane="bottomLeft" activeCell="B51" sqref="B51"/>
    </sheetView>
  </sheetViews>
  <sheetFormatPr defaultColWidth="9.00390625" defaultRowHeight="12.75"/>
  <cols>
    <col min="1" max="1" width="53.75390625" style="72" customWidth="1"/>
    <col min="2" max="2" width="16.875" style="73" customWidth="1"/>
    <col min="3" max="3" width="12.75390625" style="71" customWidth="1"/>
    <col min="4" max="4" width="11.00390625" style="71" customWidth="1"/>
    <col min="5" max="16384" width="9.125" style="71" customWidth="1"/>
  </cols>
  <sheetData>
    <row r="1" ht="13.5" customHeight="1"/>
    <row r="2" spans="1:2" ht="13.5" customHeight="1">
      <c r="A2" s="250" t="s">
        <v>304</v>
      </c>
      <c r="B2" s="251">
        <v>2012</v>
      </c>
    </row>
    <row r="3" spans="1:2" ht="13.5" customHeight="1">
      <c r="A3" s="246" t="s">
        <v>260</v>
      </c>
      <c r="B3" s="247">
        <f>'1-Ф3'!B21</f>
        <v>13984.425000000001</v>
      </c>
    </row>
    <row r="4" spans="1:2" ht="13.5" customHeight="1">
      <c r="A4" s="246" t="s">
        <v>259</v>
      </c>
      <c r="B4" s="247">
        <f>'1-Ф3'!B27-'1-Ф3'!B21</f>
        <v>4004.043719999996</v>
      </c>
    </row>
    <row r="5" spans="1:2" ht="13.5" customHeight="1">
      <c r="A5" s="248" t="s">
        <v>96</v>
      </c>
      <c r="B5" s="249">
        <f>SUM(B3:B4)</f>
        <v>17988.468719999997</v>
      </c>
    </row>
    <row r="6" spans="1:2" ht="13.5" customHeight="1">
      <c r="A6" s="74"/>
      <c r="B6" s="75"/>
    </row>
    <row r="7" spans="1:4" ht="13.5" customHeight="1">
      <c r="A7" s="250" t="s">
        <v>305</v>
      </c>
      <c r="B7" s="251" t="s">
        <v>227</v>
      </c>
      <c r="C7" s="251" t="s">
        <v>10</v>
      </c>
      <c r="D7" s="251" t="s">
        <v>262</v>
      </c>
    </row>
    <row r="8" spans="1:6" ht="13.5" customHeight="1">
      <c r="A8" s="246" t="s">
        <v>261</v>
      </c>
      <c r="B8" s="247">
        <f>'1-Ф3'!B28</f>
        <v>5396.540615999999</v>
      </c>
      <c r="C8" s="254" t="s">
        <v>310</v>
      </c>
      <c r="D8" s="252">
        <f>B8/$B$10</f>
        <v>0.3</v>
      </c>
      <c r="F8" s="255" t="s">
        <v>272</v>
      </c>
    </row>
    <row r="9" spans="1:6" ht="13.5" customHeight="1">
      <c r="A9" s="246" t="s">
        <v>120</v>
      </c>
      <c r="B9" s="247">
        <f>'1-Ф3'!B29</f>
        <v>12591.928103999999</v>
      </c>
      <c r="C9" s="254" t="s">
        <v>310</v>
      </c>
      <c r="D9" s="252">
        <f>B9/$B$10</f>
        <v>0.7000000000000001</v>
      </c>
      <c r="F9" s="255" t="s">
        <v>272</v>
      </c>
    </row>
    <row r="10" spans="1:4" ht="12.75">
      <c r="A10" s="248" t="s">
        <v>96</v>
      </c>
      <c r="B10" s="249">
        <f>SUM(B8:B9)</f>
        <v>17988.468719999997</v>
      </c>
      <c r="C10" s="249"/>
      <c r="D10" s="253">
        <f>SUM(D8:D9)</f>
        <v>1</v>
      </c>
    </row>
    <row r="11" spans="1:2" ht="12.75">
      <c r="A11" s="77"/>
      <c r="B11" s="76"/>
    </row>
    <row r="12" spans="1:6" ht="12.75">
      <c r="A12" s="246" t="s">
        <v>263</v>
      </c>
      <c r="B12" s="247" t="s">
        <v>264</v>
      </c>
      <c r="F12" s="255"/>
    </row>
    <row r="13" spans="1:2" ht="12.75">
      <c r="A13" s="246" t="s">
        <v>265</v>
      </c>
      <c r="B13" s="252">
        <f>Исх!C26</f>
        <v>0.12</v>
      </c>
    </row>
    <row r="14" spans="1:6" ht="12.75">
      <c r="A14" s="246" t="s">
        <v>266</v>
      </c>
      <c r="B14" s="247" t="s">
        <v>267</v>
      </c>
      <c r="F14" s="255"/>
    </row>
    <row r="15" spans="1:2" ht="12.75">
      <c r="A15" s="246" t="s">
        <v>270</v>
      </c>
      <c r="B15" s="247">
        <f>Исх!C28</f>
        <v>6</v>
      </c>
    </row>
    <row r="16" spans="1:2" ht="12.75">
      <c r="A16" s="246" t="s">
        <v>271</v>
      </c>
      <c r="B16" s="247">
        <f>Исх!C29</f>
        <v>6</v>
      </c>
    </row>
    <row r="17" spans="1:6" ht="12.75">
      <c r="A17" s="246" t="s">
        <v>268</v>
      </c>
      <c r="B17" s="247" t="s">
        <v>269</v>
      </c>
      <c r="F17" s="255"/>
    </row>
    <row r="19" spans="1:6" ht="12.75">
      <c r="A19" s="246" t="s">
        <v>298</v>
      </c>
      <c r="B19" s="247">
        <f>'2-ф2'!AF17</f>
        <v>5737.238928493261</v>
      </c>
      <c r="F19" s="71" t="s">
        <v>293</v>
      </c>
    </row>
    <row r="20" spans="1:2" ht="12.75">
      <c r="A20" s="246" t="s">
        <v>273</v>
      </c>
      <c r="B20" s="252">
        <f>('3-Баланс'!AF26-'3-Баланс'!AE26)/'3-Баланс'!AF16</f>
        <v>0.21492604544272234</v>
      </c>
    </row>
    <row r="21" spans="1:2" ht="12.75">
      <c r="A21" s="71"/>
      <c r="B21" s="71"/>
    </row>
    <row r="22" spans="1:2" ht="12.75">
      <c r="A22" s="246" t="s">
        <v>306</v>
      </c>
      <c r="B22" s="262">
        <f>'3-Баланс'!AF11/'3-Баланс'!AF5</f>
        <v>0.24556813176772538</v>
      </c>
    </row>
    <row r="23" spans="1:2" ht="12.75">
      <c r="A23" s="246" t="s">
        <v>294</v>
      </c>
      <c r="B23" s="262">
        <f>'3-Баланс'!AF24/'3-Баланс'!AF21</f>
        <v>5.647941241127183</v>
      </c>
    </row>
    <row r="25" spans="1:2" ht="12.75">
      <c r="A25" s="246" t="s">
        <v>274</v>
      </c>
      <c r="B25" s="252">
        <f>'1-Ф3'!AO48</f>
        <v>0.42369881074240945</v>
      </c>
    </row>
    <row r="26" spans="1:2" ht="12.75">
      <c r="A26" s="246" t="s">
        <v>275</v>
      </c>
      <c r="B26" s="247">
        <f>'1-Ф3'!AO46</f>
        <v>13168.422610365946</v>
      </c>
    </row>
    <row r="27" spans="1:2" ht="12.75">
      <c r="A27" s="246" t="s">
        <v>276</v>
      </c>
      <c r="B27" s="256">
        <f>'1-Ф3'!B49</f>
        <v>2.726205263332336</v>
      </c>
    </row>
    <row r="28" spans="1:2" ht="12.75">
      <c r="A28" s="246" t="s">
        <v>277</v>
      </c>
      <c r="B28" s="256">
        <f>'1-Ф3'!B50</f>
        <v>3.2248435410121465</v>
      </c>
    </row>
    <row r="30" ht="12.75">
      <c r="A30" s="257" t="s">
        <v>282</v>
      </c>
    </row>
    <row r="31" spans="1:4" ht="12.75">
      <c r="A31" s="250" t="s">
        <v>280</v>
      </c>
      <c r="B31" s="251">
        <v>2012</v>
      </c>
      <c r="C31" s="251">
        <v>2013</v>
      </c>
      <c r="D31" s="251" t="s">
        <v>279</v>
      </c>
    </row>
    <row r="32" spans="1:4" ht="12.75">
      <c r="A32" s="246" t="s">
        <v>278</v>
      </c>
      <c r="B32" s="252">
        <f>'2-ф2'!P20</f>
        <v>0.7477777777777779</v>
      </c>
      <c r="C32" s="252">
        <f>'2-ф2'!AC20</f>
        <v>0.9791666666666666</v>
      </c>
      <c r="D32" s="252">
        <f>'2-ф2'!AD20</f>
        <v>1</v>
      </c>
    </row>
    <row r="33" spans="1:4" ht="12.75">
      <c r="A33" s="246" t="s">
        <v>281</v>
      </c>
      <c r="B33" s="247">
        <f>'1-Ф3'!P9</f>
        <v>40380</v>
      </c>
      <c r="C33" s="247">
        <f>'1-Ф3'!AC10</f>
        <v>70500</v>
      </c>
      <c r="D33" s="247">
        <f>'1-Ф3'!AD9</f>
        <v>72000</v>
      </c>
    </row>
    <row r="35" ht="12.75">
      <c r="A35" s="257" t="s">
        <v>283</v>
      </c>
    </row>
    <row r="36" spans="1:7" ht="12.75">
      <c r="A36" s="293" t="s">
        <v>284</v>
      </c>
      <c r="B36" s="295">
        <v>2011</v>
      </c>
      <c r="C36" s="295"/>
      <c r="D36" s="296">
        <v>2012</v>
      </c>
      <c r="E36" s="297"/>
      <c r="F36" s="297"/>
      <c r="G36" s="298"/>
    </row>
    <row r="37" spans="1:7" ht="12.75">
      <c r="A37" s="294"/>
      <c r="B37" s="251">
        <v>11</v>
      </c>
      <c r="C37" s="251">
        <v>12</v>
      </c>
      <c r="D37" s="251">
        <v>1</v>
      </c>
      <c r="E37" s="251">
        <v>2</v>
      </c>
      <c r="F37" s="251">
        <v>3</v>
      </c>
      <c r="G37" s="251">
        <v>4</v>
      </c>
    </row>
    <row r="38" spans="1:7" ht="25.5">
      <c r="A38" s="258" t="s">
        <v>285</v>
      </c>
      <c r="B38" s="259"/>
      <c r="C38" s="259"/>
      <c r="D38" s="252"/>
      <c r="E38" s="252"/>
      <c r="F38" s="252"/>
      <c r="G38" s="252"/>
    </row>
    <row r="39" spans="1:7" ht="12.75">
      <c r="A39" s="246" t="s">
        <v>286</v>
      </c>
      <c r="B39" s="247"/>
      <c r="C39" s="260"/>
      <c r="D39" s="260"/>
      <c r="E39" s="247"/>
      <c r="F39" s="247"/>
      <c r="G39" s="247"/>
    </row>
    <row r="40" spans="1:7" ht="12.75">
      <c r="A40" s="246" t="s">
        <v>287</v>
      </c>
      <c r="B40" s="247"/>
      <c r="C40" s="247"/>
      <c r="D40" s="260"/>
      <c r="E40" s="260"/>
      <c r="F40" s="260"/>
      <c r="G40" s="260"/>
    </row>
    <row r="41" spans="1:7" ht="12.75">
      <c r="A41" s="246" t="s">
        <v>237</v>
      </c>
      <c r="B41" s="247"/>
      <c r="C41" s="247"/>
      <c r="D41" s="260"/>
      <c r="E41" s="247"/>
      <c r="F41" s="247"/>
      <c r="G41" s="247"/>
    </row>
    <row r="42" spans="1:7" ht="12.75">
      <c r="A42" s="246" t="s">
        <v>289</v>
      </c>
      <c r="B42" s="247"/>
      <c r="C42" s="247"/>
      <c r="D42" s="247"/>
      <c r="E42" s="260"/>
      <c r="F42" s="260"/>
      <c r="G42" s="247"/>
    </row>
    <row r="43" spans="1:7" ht="12.75">
      <c r="A43" s="246" t="s">
        <v>288</v>
      </c>
      <c r="B43" s="247"/>
      <c r="C43" s="247"/>
      <c r="D43" s="247"/>
      <c r="E43" s="247"/>
      <c r="F43" s="247"/>
      <c r="G43" s="260"/>
    </row>
    <row r="45" ht="12.75">
      <c r="A45" s="257" t="s">
        <v>299</v>
      </c>
    </row>
    <row r="47" spans="1:2" ht="12.75">
      <c r="A47" s="265" t="s">
        <v>302</v>
      </c>
      <c r="B47" s="260" t="s">
        <v>303</v>
      </c>
    </row>
    <row r="48" spans="1:2" ht="12.75">
      <c r="A48" s="246" t="s">
        <v>45</v>
      </c>
      <c r="B48" s="247">
        <f>'1-Ф3'!B17</f>
        <v>26711.49894428571</v>
      </c>
    </row>
    <row r="49" spans="1:2" ht="12.75">
      <c r="A49" s="246" t="s">
        <v>300</v>
      </c>
      <c r="B49" s="247">
        <f>'1-Ф3'!B16</f>
        <v>7333.696434486614</v>
      </c>
    </row>
    <row r="50" spans="1:2" ht="12.75">
      <c r="A50" s="246" t="s">
        <v>301</v>
      </c>
      <c r="B50" s="247">
        <f>(ФОТ!F35+ФОТ!G35+ФОТ!H35+ФОТ!I35)*12*7</f>
        <v>47186.33640000001</v>
      </c>
    </row>
    <row r="51" spans="1:2" ht="12.75">
      <c r="A51" s="248" t="s">
        <v>0</v>
      </c>
      <c r="B51" s="249">
        <f>SUM(B48:B50)</f>
        <v>81231.53177877233</v>
      </c>
    </row>
  </sheetData>
  <sheetProtection/>
  <mergeCells count="3">
    <mergeCell ref="A36:A37"/>
    <mergeCell ref="B36:C36"/>
    <mergeCell ref="D36:G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U33"/>
  <sheetViews>
    <sheetView showGridLines="0" showZeros="0" zoomScalePageLayoutView="0" workbookViewId="0" topLeftCell="A1">
      <pane xSplit="3" ySplit="4" topLeftCell="D11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L21" sqref="L21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30" width="9.125" style="88" customWidth="1"/>
    <col min="31" max="34" width="8.875" style="88" customWidth="1"/>
    <col min="35" max="16384" width="10.125" style="88" customWidth="1"/>
  </cols>
  <sheetData>
    <row r="1" spans="1:3" ht="21" customHeight="1">
      <c r="A1" s="62" t="s">
        <v>147</v>
      </c>
      <c r="B1" s="87"/>
      <c r="C1" s="87"/>
    </row>
    <row r="2" spans="1:3" ht="17.25" customHeight="1">
      <c r="A2" s="62"/>
      <c r="B2" s="12" t="str">
        <f>Исх!$C$9</f>
        <v>тыс.тг.</v>
      </c>
      <c r="C2" s="89"/>
    </row>
    <row r="3" spans="1:34" ht="12.75" customHeight="1">
      <c r="A3" s="274" t="s">
        <v>3</v>
      </c>
      <c r="B3" s="278" t="s">
        <v>1</v>
      </c>
      <c r="C3" s="93"/>
      <c r="D3" s="273">
        <v>2012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>
        <v>2013</v>
      </c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94">
        <v>2014</v>
      </c>
      <c r="AE3" s="94">
        <f>AD3+1</f>
        <v>2015</v>
      </c>
      <c r="AF3" s="94">
        <f>AE3+1</f>
        <v>2016</v>
      </c>
      <c r="AG3" s="94">
        <f>AF3+1</f>
        <v>2017</v>
      </c>
      <c r="AH3" s="94">
        <f>AG3+1</f>
        <v>2018</v>
      </c>
    </row>
    <row r="4" spans="1:34" ht="12.75">
      <c r="A4" s="275"/>
      <c r="B4" s="278"/>
      <c r="C4" s="95"/>
      <c r="D4" s="96">
        <v>1</v>
      </c>
      <c r="E4" s="96">
        <f aca="true" t="shared" si="0" ref="E4:O4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aca="true" t="shared" si="1" ref="R4:AB4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148</v>
      </c>
      <c r="AE4" s="92" t="s">
        <v>148</v>
      </c>
      <c r="AF4" s="92" t="s">
        <v>148</v>
      </c>
      <c r="AG4" s="92" t="s">
        <v>148</v>
      </c>
      <c r="AH4" s="92" t="s">
        <v>148</v>
      </c>
    </row>
    <row r="5" spans="1:35" s="89" customFormat="1" ht="15" customHeight="1">
      <c r="A5" s="97" t="s">
        <v>109</v>
      </c>
      <c r="B5" s="98">
        <f>P5+AC5+AD5+AE5+AF5+AG5+AH5</f>
        <v>420428.57142857136</v>
      </c>
      <c r="C5" s="99"/>
      <c r="D5" s="99">
        <f aca="true" t="shared" si="2" ref="D5:AH5">SUM(D6:D7)</f>
        <v>0</v>
      </c>
      <c r="E5" s="99">
        <f t="shared" si="2"/>
        <v>0</v>
      </c>
      <c r="F5" s="99">
        <f t="shared" si="2"/>
        <v>0</v>
      </c>
      <c r="G5" s="99">
        <f t="shared" si="2"/>
        <v>2946.4285714285716</v>
      </c>
      <c r="H5" s="99">
        <f t="shared" si="2"/>
        <v>3214.285714285714</v>
      </c>
      <c r="I5" s="99">
        <f t="shared" si="2"/>
        <v>3482.142857142857</v>
      </c>
      <c r="J5" s="99">
        <f t="shared" si="2"/>
        <v>3749.9999999999995</v>
      </c>
      <c r="K5" s="99">
        <f t="shared" si="2"/>
        <v>4071.428571428571</v>
      </c>
      <c r="L5" s="99">
        <f t="shared" si="2"/>
        <v>4392.857142857142</v>
      </c>
      <c r="M5" s="99">
        <f t="shared" si="2"/>
        <v>4553.571428571428</v>
      </c>
      <c r="N5" s="99">
        <f t="shared" si="2"/>
        <v>4821.428571428572</v>
      </c>
      <c r="O5" s="99">
        <f t="shared" si="2"/>
        <v>4821.428571428572</v>
      </c>
      <c r="P5" s="99">
        <f t="shared" si="2"/>
        <v>36053.57142857143</v>
      </c>
      <c r="Q5" s="99">
        <f t="shared" si="2"/>
        <v>4821.428571428572</v>
      </c>
      <c r="R5" s="99">
        <f t="shared" si="2"/>
        <v>5089.285714285714</v>
      </c>
      <c r="S5" s="99">
        <f t="shared" si="2"/>
        <v>5089.285714285714</v>
      </c>
      <c r="T5" s="99">
        <f t="shared" si="2"/>
        <v>5089.285714285714</v>
      </c>
      <c r="U5" s="99">
        <f t="shared" si="2"/>
        <v>5357.142857142857</v>
      </c>
      <c r="V5" s="99">
        <f t="shared" si="2"/>
        <v>5357.142857142857</v>
      </c>
      <c r="W5" s="99">
        <f t="shared" si="2"/>
        <v>5357.142857142857</v>
      </c>
      <c r="X5" s="99">
        <f t="shared" si="2"/>
        <v>5357.142857142857</v>
      </c>
      <c r="Y5" s="99">
        <f t="shared" si="2"/>
        <v>5357.142857142857</v>
      </c>
      <c r="Z5" s="99">
        <f t="shared" si="2"/>
        <v>5357.142857142857</v>
      </c>
      <c r="AA5" s="99">
        <f t="shared" si="2"/>
        <v>5357.142857142857</v>
      </c>
      <c r="AB5" s="99">
        <f t="shared" si="2"/>
        <v>5357.142857142857</v>
      </c>
      <c r="AC5" s="99">
        <f t="shared" si="2"/>
        <v>62946.42857142856</v>
      </c>
      <c r="AD5" s="99">
        <f t="shared" si="2"/>
        <v>64285.71428571428</v>
      </c>
      <c r="AE5" s="99">
        <f t="shared" si="2"/>
        <v>64285.71428571428</v>
      </c>
      <c r="AF5" s="99">
        <f t="shared" si="2"/>
        <v>64285.71428571428</v>
      </c>
      <c r="AG5" s="99">
        <f t="shared" si="2"/>
        <v>64285.71428571428</v>
      </c>
      <c r="AH5" s="99">
        <f t="shared" si="2"/>
        <v>64285.71428571428</v>
      </c>
      <c r="AI5" s="100"/>
    </row>
    <row r="6" spans="1:35" s="89" customFormat="1" ht="15" customHeight="1">
      <c r="A6" s="101" t="s">
        <v>206</v>
      </c>
      <c r="B6" s="98">
        <f aca="true" t="shared" si="3" ref="B6:B17">P6+AC6+AD6+AE6+AF6+AG6+AH6</f>
        <v>420428.57142857136</v>
      </c>
      <c r="C6" s="99"/>
      <c r="D6" s="102"/>
      <c r="E6" s="102"/>
      <c r="F6" s="102"/>
      <c r="G6" s="102">
        <f>Дох!$C$5*'2-ф2'!G20</f>
        <v>2946.4285714285716</v>
      </c>
      <c r="H6" s="102">
        <f>Дох!$C$5*'2-ф2'!H20</f>
        <v>3214.285714285714</v>
      </c>
      <c r="I6" s="102">
        <f>Дох!$C$5*'2-ф2'!I20</f>
        <v>3482.142857142857</v>
      </c>
      <c r="J6" s="102">
        <f>Дох!$C$5*'2-ф2'!J20</f>
        <v>3749.9999999999995</v>
      </c>
      <c r="K6" s="102">
        <f>Дох!$C$5*'2-ф2'!K20</f>
        <v>4071.428571428571</v>
      </c>
      <c r="L6" s="102">
        <f>Дох!$C$5*'2-ф2'!L20</f>
        <v>4392.857142857142</v>
      </c>
      <c r="M6" s="102">
        <f>Дох!$C$5*'2-ф2'!M20</f>
        <v>4553.571428571428</v>
      </c>
      <c r="N6" s="102">
        <f>Дох!$C$5*'2-ф2'!N20</f>
        <v>4821.428571428572</v>
      </c>
      <c r="O6" s="102">
        <f>Дох!$C$5*'2-ф2'!O20</f>
        <v>4821.428571428572</v>
      </c>
      <c r="P6" s="99">
        <f>SUM(D6:O6)</f>
        <v>36053.57142857143</v>
      </c>
      <c r="Q6" s="102">
        <f>Дох!$D$5*'2-ф2'!Q20</f>
        <v>4821.428571428572</v>
      </c>
      <c r="R6" s="102">
        <f>Дох!$D$5*'2-ф2'!R20</f>
        <v>5089.285714285714</v>
      </c>
      <c r="S6" s="102">
        <f>Дох!$D$5*'2-ф2'!S20</f>
        <v>5089.285714285714</v>
      </c>
      <c r="T6" s="102">
        <f>Дох!$D$5*'2-ф2'!T20</f>
        <v>5089.285714285714</v>
      </c>
      <c r="U6" s="102">
        <f>Дох!$D$5*'2-ф2'!U20</f>
        <v>5357.142857142857</v>
      </c>
      <c r="V6" s="102">
        <f>Дох!$D$5*'2-ф2'!V20</f>
        <v>5357.142857142857</v>
      </c>
      <c r="W6" s="102">
        <f>Дох!$D$5*'2-ф2'!W20</f>
        <v>5357.142857142857</v>
      </c>
      <c r="X6" s="102">
        <f>Дох!$D$5*'2-ф2'!X20</f>
        <v>5357.142857142857</v>
      </c>
      <c r="Y6" s="102">
        <f>Дох!$D$5*'2-ф2'!Y20</f>
        <v>5357.142857142857</v>
      </c>
      <c r="Z6" s="102">
        <f>Дох!$D$5*'2-ф2'!Z20</f>
        <v>5357.142857142857</v>
      </c>
      <c r="AA6" s="102">
        <f>Дох!$D$5*'2-ф2'!AA20</f>
        <v>5357.142857142857</v>
      </c>
      <c r="AB6" s="102">
        <f>Дох!$D$5*'2-ф2'!AB20</f>
        <v>5357.142857142857</v>
      </c>
      <c r="AC6" s="99">
        <f>SUM(Q6:AB6)</f>
        <v>62946.42857142856</v>
      </c>
      <c r="AD6" s="102">
        <f>Дох!E5*12*'2-ф2'!AD20</f>
        <v>64285.71428571428</v>
      </c>
      <c r="AE6" s="102">
        <f>Дох!F5*12*'2-ф2'!AE20</f>
        <v>64285.71428571428</v>
      </c>
      <c r="AF6" s="102">
        <f>Дох!G5*12*'2-ф2'!AF20</f>
        <v>64285.71428571428</v>
      </c>
      <c r="AG6" s="102">
        <f>Дох!H5*12*'2-ф2'!AG20</f>
        <v>64285.71428571428</v>
      </c>
      <c r="AH6" s="102">
        <f>Дох!I5*12*'2-ф2'!AH20</f>
        <v>64285.71428571428</v>
      </c>
      <c r="AI6" s="100"/>
    </row>
    <row r="7" spans="1:35" s="89" customFormat="1" ht="2.25" customHeight="1">
      <c r="A7" s="101"/>
      <c r="B7" s="98">
        <f t="shared" si="3"/>
        <v>0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99">
        <f>SUM(Q7:AB7)</f>
        <v>0</v>
      </c>
      <c r="AD7" s="102"/>
      <c r="AE7" s="102"/>
      <c r="AF7" s="102"/>
      <c r="AG7" s="102"/>
      <c r="AH7" s="102"/>
      <c r="AI7" s="100"/>
    </row>
    <row r="8" spans="1:34" ht="15" customHeight="1">
      <c r="A8" s="97" t="s">
        <v>110</v>
      </c>
      <c r="B8" s="98">
        <f t="shared" si="3"/>
        <v>100902.85714285713</v>
      </c>
      <c r="C8" s="99"/>
      <c r="D8" s="99">
        <f aca="true" t="shared" si="4" ref="D8:AH8">SUM(D9:D10)</f>
        <v>0</v>
      </c>
      <c r="E8" s="99">
        <f t="shared" si="4"/>
        <v>0</v>
      </c>
      <c r="F8" s="99">
        <f t="shared" si="4"/>
        <v>0</v>
      </c>
      <c r="G8" s="99">
        <f t="shared" si="4"/>
        <v>707.1428571428571</v>
      </c>
      <c r="H8" s="99">
        <f t="shared" si="4"/>
        <v>771.4285714285713</v>
      </c>
      <c r="I8" s="99">
        <f t="shared" si="4"/>
        <v>835.7142857142857</v>
      </c>
      <c r="J8" s="99">
        <f t="shared" si="4"/>
        <v>899.9999999999998</v>
      </c>
      <c r="K8" s="99">
        <f t="shared" si="4"/>
        <v>977.142857142857</v>
      </c>
      <c r="L8" s="99">
        <f t="shared" si="4"/>
        <v>1054.285714285714</v>
      </c>
      <c r="M8" s="99">
        <f t="shared" si="4"/>
        <v>1092.8571428571427</v>
      </c>
      <c r="N8" s="99">
        <f t="shared" si="4"/>
        <v>1157.142857142857</v>
      </c>
      <c r="O8" s="99">
        <f t="shared" si="4"/>
        <v>1157.142857142857</v>
      </c>
      <c r="P8" s="99">
        <f t="shared" si="4"/>
        <v>8652.857142857141</v>
      </c>
      <c r="Q8" s="99">
        <f t="shared" si="4"/>
        <v>1157.142857142857</v>
      </c>
      <c r="R8" s="99">
        <f t="shared" si="4"/>
        <v>1221.428571428571</v>
      </c>
      <c r="S8" s="99">
        <f t="shared" si="4"/>
        <v>1221.428571428571</v>
      </c>
      <c r="T8" s="99">
        <f t="shared" si="4"/>
        <v>1221.428571428571</v>
      </c>
      <c r="U8" s="99">
        <f t="shared" si="4"/>
        <v>1285.7142857142856</v>
      </c>
      <c r="V8" s="99">
        <f t="shared" si="4"/>
        <v>1285.7142857142856</v>
      </c>
      <c r="W8" s="99">
        <f t="shared" si="4"/>
        <v>1285.7142857142856</v>
      </c>
      <c r="X8" s="99">
        <f t="shared" si="4"/>
        <v>1285.7142857142856</v>
      </c>
      <c r="Y8" s="99">
        <f t="shared" si="4"/>
        <v>1285.7142857142856</v>
      </c>
      <c r="Z8" s="99">
        <f t="shared" si="4"/>
        <v>1285.7142857142856</v>
      </c>
      <c r="AA8" s="99">
        <f t="shared" si="4"/>
        <v>1285.7142857142856</v>
      </c>
      <c r="AB8" s="99">
        <f t="shared" si="4"/>
        <v>1285.7142857142856</v>
      </c>
      <c r="AC8" s="99">
        <f t="shared" si="4"/>
        <v>15107.142857142859</v>
      </c>
      <c r="AD8" s="99">
        <f t="shared" si="4"/>
        <v>15428.571428571428</v>
      </c>
      <c r="AE8" s="99">
        <f t="shared" si="4"/>
        <v>15428.571428571428</v>
      </c>
      <c r="AF8" s="99">
        <f t="shared" si="4"/>
        <v>15428.571428571428</v>
      </c>
      <c r="AG8" s="99">
        <f t="shared" si="4"/>
        <v>15428.571428571428</v>
      </c>
      <c r="AH8" s="99">
        <f t="shared" si="4"/>
        <v>15428.571428571428</v>
      </c>
    </row>
    <row r="9" spans="1:34" ht="12.75">
      <c r="A9" s="101" t="s">
        <v>205</v>
      </c>
      <c r="B9" s="98">
        <f t="shared" si="3"/>
        <v>100902.85714285713</v>
      </c>
      <c r="C9" s="99"/>
      <c r="D9" s="102"/>
      <c r="E9" s="102"/>
      <c r="F9" s="102"/>
      <c r="G9" s="102">
        <f>'Расх перем'!$B$6*'2-ф2'!G20</f>
        <v>707.1428571428571</v>
      </c>
      <c r="H9" s="102">
        <f>'Расх перем'!$B$6*'2-ф2'!H20</f>
        <v>771.4285714285713</v>
      </c>
      <c r="I9" s="102">
        <f>'Расх перем'!$B$6*'2-ф2'!I20</f>
        <v>835.7142857142857</v>
      </c>
      <c r="J9" s="102">
        <f>'Расх перем'!$B$6*'2-ф2'!J20</f>
        <v>899.9999999999998</v>
      </c>
      <c r="K9" s="102">
        <f>'Расх перем'!$B$6*'2-ф2'!K20</f>
        <v>977.142857142857</v>
      </c>
      <c r="L9" s="102">
        <f>'Расх перем'!$B$6*'2-ф2'!L20</f>
        <v>1054.285714285714</v>
      </c>
      <c r="M9" s="102">
        <f>'Расх перем'!$B$6*'2-ф2'!M20</f>
        <v>1092.8571428571427</v>
      </c>
      <c r="N9" s="102">
        <f>'Расх перем'!$B$6*'2-ф2'!N20</f>
        <v>1157.142857142857</v>
      </c>
      <c r="O9" s="102">
        <f>'Расх перем'!$B$6*'2-ф2'!O20</f>
        <v>1157.142857142857</v>
      </c>
      <c r="P9" s="99">
        <f>SUM(D9:O9)</f>
        <v>8652.857142857141</v>
      </c>
      <c r="Q9" s="102">
        <f>'Расх перем'!$C$6*'2-ф2'!Q20</f>
        <v>1157.142857142857</v>
      </c>
      <c r="R9" s="102">
        <f>'Расх перем'!$C$6*'2-ф2'!R20</f>
        <v>1221.428571428571</v>
      </c>
      <c r="S9" s="102">
        <f>'Расх перем'!$C$6*'2-ф2'!S20</f>
        <v>1221.428571428571</v>
      </c>
      <c r="T9" s="102">
        <f>'Расх перем'!$C$6*'2-ф2'!T20</f>
        <v>1221.428571428571</v>
      </c>
      <c r="U9" s="102">
        <f>'Расх перем'!$C$6*'2-ф2'!U20</f>
        <v>1285.7142857142856</v>
      </c>
      <c r="V9" s="102">
        <f>'Расх перем'!$C$6*'2-ф2'!V20</f>
        <v>1285.7142857142856</v>
      </c>
      <c r="W9" s="102">
        <f>'Расх перем'!$C$6*'2-ф2'!W20</f>
        <v>1285.7142857142856</v>
      </c>
      <c r="X9" s="102">
        <f>'Расх перем'!$C$6*'2-ф2'!X20</f>
        <v>1285.7142857142856</v>
      </c>
      <c r="Y9" s="102">
        <f>'Расх перем'!$C$6*'2-ф2'!Y20</f>
        <v>1285.7142857142856</v>
      </c>
      <c r="Z9" s="102">
        <f>'Расх перем'!$C$6*'2-ф2'!Z20</f>
        <v>1285.7142857142856</v>
      </c>
      <c r="AA9" s="102">
        <f>'Расх перем'!$C$6*'2-ф2'!AA20</f>
        <v>1285.7142857142856</v>
      </c>
      <c r="AB9" s="102">
        <f>'Расх перем'!$C$6*'2-ф2'!AB20</f>
        <v>1285.7142857142856</v>
      </c>
      <c r="AC9" s="99">
        <f>SUM(Q9:AB9)</f>
        <v>15107.142857142859</v>
      </c>
      <c r="AD9" s="102">
        <f>'Расх перем'!D6*12*'2-ф2'!AD20</f>
        <v>15428.571428571428</v>
      </c>
      <c r="AE9" s="102">
        <f>'Расх перем'!E6*12*'2-ф2'!AE20</f>
        <v>15428.571428571428</v>
      </c>
      <c r="AF9" s="102">
        <f>'Расх перем'!F6*12*'2-ф2'!AF20</f>
        <v>15428.571428571428</v>
      </c>
      <c r="AG9" s="102">
        <f>'Расх перем'!G6*12*'2-ф2'!AG20</f>
        <v>15428.571428571428</v>
      </c>
      <c r="AH9" s="102">
        <f>'Расх перем'!H6*12*'2-ф2'!AH20</f>
        <v>15428.571428571428</v>
      </c>
    </row>
    <row r="10" spans="1:34" ht="3.75" customHeight="1">
      <c r="A10" s="101"/>
      <c r="B10" s="98">
        <f t="shared" si="3"/>
        <v>0</v>
      </c>
      <c r="C10" s="9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99">
        <f>SUM(D10:O10)</f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99">
        <f>SUM(Q10:AB10)</f>
        <v>0</v>
      </c>
      <c r="AD10" s="102"/>
      <c r="AE10" s="102"/>
      <c r="AF10" s="102"/>
      <c r="AG10" s="102"/>
      <c r="AH10" s="102"/>
    </row>
    <row r="11" spans="1:34" s="89" customFormat="1" ht="15" customHeight="1">
      <c r="A11" s="97" t="s">
        <v>18</v>
      </c>
      <c r="B11" s="98">
        <f t="shared" si="3"/>
        <v>319525.7142857142</v>
      </c>
      <c r="C11" s="103"/>
      <c r="D11" s="99">
        <f aca="true" t="shared" si="5" ref="D11:AH11">D5-D8</f>
        <v>0</v>
      </c>
      <c r="E11" s="99">
        <f t="shared" si="5"/>
        <v>0</v>
      </c>
      <c r="F11" s="99">
        <f t="shared" si="5"/>
        <v>0</v>
      </c>
      <c r="G11" s="99">
        <f t="shared" si="5"/>
        <v>2239.2857142857147</v>
      </c>
      <c r="H11" s="99">
        <f t="shared" si="5"/>
        <v>2442.857142857143</v>
      </c>
      <c r="I11" s="99">
        <f t="shared" si="5"/>
        <v>2646.428571428571</v>
      </c>
      <c r="J11" s="99">
        <f t="shared" si="5"/>
        <v>2850</v>
      </c>
      <c r="K11" s="99">
        <f t="shared" si="5"/>
        <v>3094.285714285714</v>
      </c>
      <c r="L11" s="99">
        <f t="shared" si="5"/>
        <v>3338.5714285714284</v>
      </c>
      <c r="M11" s="99">
        <f t="shared" si="5"/>
        <v>3460.714285714286</v>
      </c>
      <c r="N11" s="99">
        <f t="shared" si="5"/>
        <v>3664.2857142857147</v>
      </c>
      <c r="O11" s="99">
        <f t="shared" si="5"/>
        <v>3664.2857142857147</v>
      </c>
      <c r="P11" s="99">
        <f t="shared" si="5"/>
        <v>27400.714285714286</v>
      </c>
      <c r="Q11" s="99">
        <f t="shared" si="5"/>
        <v>3664.2857142857147</v>
      </c>
      <c r="R11" s="99">
        <f t="shared" si="5"/>
        <v>3867.8571428571427</v>
      </c>
      <c r="S11" s="99">
        <f t="shared" si="5"/>
        <v>3867.8571428571427</v>
      </c>
      <c r="T11" s="99">
        <f t="shared" si="5"/>
        <v>3867.8571428571427</v>
      </c>
      <c r="U11" s="99">
        <f t="shared" si="5"/>
        <v>4071.4285714285716</v>
      </c>
      <c r="V11" s="99">
        <f t="shared" si="5"/>
        <v>4071.4285714285716</v>
      </c>
      <c r="W11" s="99">
        <f t="shared" si="5"/>
        <v>4071.4285714285716</v>
      </c>
      <c r="X11" s="99">
        <f t="shared" si="5"/>
        <v>4071.4285714285716</v>
      </c>
      <c r="Y11" s="99">
        <f t="shared" si="5"/>
        <v>4071.4285714285716</v>
      </c>
      <c r="Z11" s="99">
        <f t="shared" si="5"/>
        <v>4071.4285714285716</v>
      </c>
      <c r="AA11" s="99">
        <f t="shared" si="5"/>
        <v>4071.4285714285716</v>
      </c>
      <c r="AB11" s="99">
        <f t="shared" si="5"/>
        <v>4071.4285714285716</v>
      </c>
      <c r="AC11" s="99">
        <f t="shared" si="5"/>
        <v>47839.285714285696</v>
      </c>
      <c r="AD11" s="99">
        <f t="shared" si="5"/>
        <v>48857.142857142855</v>
      </c>
      <c r="AE11" s="99">
        <f t="shared" si="5"/>
        <v>48857.142857142855</v>
      </c>
      <c r="AF11" s="99">
        <f t="shared" si="5"/>
        <v>48857.142857142855</v>
      </c>
      <c r="AG11" s="99">
        <f t="shared" si="5"/>
        <v>48857.142857142855</v>
      </c>
      <c r="AH11" s="99">
        <f t="shared" si="5"/>
        <v>48857.142857142855</v>
      </c>
    </row>
    <row r="12" spans="1:34" ht="15" customHeight="1">
      <c r="A12" s="104" t="s">
        <v>207</v>
      </c>
      <c r="B12" s="98">
        <f t="shared" si="3"/>
        <v>268816.31514</v>
      </c>
      <c r="C12" s="99"/>
      <c r="D12" s="102"/>
      <c r="E12" s="102"/>
      <c r="F12" s="102"/>
      <c r="G12" s="102">
        <f>Пост!$C$19+Пост!$C$21+Пост!$C$24</f>
        <v>3318.71994</v>
      </c>
      <c r="H12" s="102">
        <f>Пост!$C$19+Пост!$C$21+Пост!$C$24</f>
        <v>3318.71994</v>
      </c>
      <c r="I12" s="102">
        <f>Пост!$C$19+Пост!$C$21+Пост!$C$24</f>
        <v>3318.71994</v>
      </c>
      <c r="J12" s="102">
        <f>Пост!$C$19+Пост!$C$21+Пост!$C$24</f>
        <v>3318.71994</v>
      </c>
      <c r="K12" s="102">
        <f>Пост!$C$19+Пост!$C$21+Пост!$C$24</f>
        <v>3318.71994</v>
      </c>
      <c r="L12" s="102">
        <f>Пост!$C$19+Пост!$C$21+Пост!$C$24</f>
        <v>3318.71994</v>
      </c>
      <c r="M12" s="102">
        <f>Пост!$C$19+Пост!$C$21+Пост!$C$24</f>
        <v>3318.71994</v>
      </c>
      <c r="N12" s="102">
        <f>Пост!$C$19+Пост!$C$21+Пост!$C$24</f>
        <v>3318.71994</v>
      </c>
      <c r="O12" s="102">
        <f>Пост!$C$19+Пост!$C$21+Пост!$C$24</f>
        <v>3318.71994</v>
      </c>
      <c r="P12" s="99">
        <f aca="true" t="shared" si="6" ref="P12:P17">SUM(D12:O12)</f>
        <v>29868.479459999995</v>
      </c>
      <c r="Q12" s="102">
        <f>Пост!$D$19+Пост!$D$21+Пост!$D$24</f>
        <v>3318.71994</v>
      </c>
      <c r="R12" s="102">
        <f>Пост!$D$19+Пост!$D$21+Пост!$D$24</f>
        <v>3318.71994</v>
      </c>
      <c r="S12" s="102">
        <f>Пост!$D$19+Пост!$D$21+Пост!$D$24</f>
        <v>3318.71994</v>
      </c>
      <c r="T12" s="102">
        <f>Пост!$D$19+Пост!$D$21+Пост!$D$24</f>
        <v>3318.71994</v>
      </c>
      <c r="U12" s="102">
        <f>Пост!$D$19+Пост!$D$21+Пост!$D$24</f>
        <v>3318.71994</v>
      </c>
      <c r="V12" s="102">
        <f>Пост!$D$19+Пост!$D$21+Пост!$D$24</f>
        <v>3318.71994</v>
      </c>
      <c r="W12" s="102">
        <f>Пост!$D$19+Пост!$D$21+Пост!$D$24</f>
        <v>3318.71994</v>
      </c>
      <c r="X12" s="102">
        <f>Пост!$D$19+Пост!$D$21+Пост!$D$24</f>
        <v>3318.71994</v>
      </c>
      <c r="Y12" s="102">
        <f>Пост!$D$19+Пост!$D$21+Пост!$D$24</f>
        <v>3318.71994</v>
      </c>
      <c r="Z12" s="102">
        <f>Пост!$D$19+Пост!$D$21+Пост!$D$24</f>
        <v>3318.71994</v>
      </c>
      <c r="AA12" s="102">
        <f>Пост!$D$19+Пост!$D$21+Пост!$D$24</f>
        <v>3318.71994</v>
      </c>
      <c r="AB12" s="102">
        <f>Пост!$D$19+Пост!$D$21+Пост!$D$24</f>
        <v>3318.71994</v>
      </c>
      <c r="AC12" s="99">
        <f aca="true" t="shared" si="7" ref="AC12:AC17">SUM(Q12:AB12)</f>
        <v>39824.63928</v>
      </c>
      <c r="AD12" s="102">
        <f>(Пост!E19+Пост!E21+Пост!E24)*12</f>
        <v>39824.63928</v>
      </c>
      <c r="AE12" s="102">
        <f>(Пост!F19+Пост!F21+Пост!F24)*12</f>
        <v>39824.63928</v>
      </c>
      <c r="AF12" s="102">
        <f>(Пост!G19+Пост!G21+Пост!G24)*12</f>
        <v>39824.63928</v>
      </c>
      <c r="AG12" s="102">
        <f>(Пост!H19+Пост!H21+Пост!H24)*12</f>
        <v>39824.63928</v>
      </c>
      <c r="AH12" s="102">
        <f>(Пост!I19+Пост!I21+Пост!I24)*12</f>
        <v>39824.63928</v>
      </c>
    </row>
    <row r="13" spans="1:34" ht="15" customHeight="1">
      <c r="A13" s="104" t="s">
        <v>84</v>
      </c>
      <c r="B13" s="98">
        <f t="shared" si="3"/>
        <v>8428.11328125</v>
      </c>
      <c r="C13" s="99"/>
      <c r="D13" s="102"/>
      <c r="E13" s="102"/>
      <c r="F13" s="102"/>
      <c r="G13" s="102">
        <f>Пост!$C$34/12</f>
        <v>104.05078125</v>
      </c>
      <c r="H13" s="102">
        <f>Пост!$C$34/12</f>
        <v>104.05078125</v>
      </c>
      <c r="I13" s="102">
        <f>Пост!$C$34/12</f>
        <v>104.05078125</v>
      </c>
      <c r="J13" s="102">
        <f>Пост!$C$34/12</f>
        <v>104.05078125</v>
      </c>
      <c r="K13" s="102">
        <f>Пост!$C$34/12</f>
        <v>104.05078125</v>
      </c>
      <c r="L13" s="102">
        <f>Пост!$C$34/12</f>
        <v>104.05078125</v>
      </c>
      <c r="M13" s="102">
        <f>Пост!$C$34/12</f>
        <v>104.05078125</v>
      </c>
      <c r="N13" s="102">
        <f>Пост!$C$34/12</f>
        <v>104.05078125</v>
      </c>
      <c r="O13" s="102">
        <f>Пост!$C$34/12</f>
        <v>104.05078125</v>
      </c>
      <c r="P13" s="99">
        <f t="shared" si="6"/>
        <v>936.45703125</v>
      </c>
      <c r="Q13" s="102">
        <f>Пост!$D$34/12</f>
        <v>104.05078125</v>
      </c>
      <c r="R13" s="102">
        <f>Пост!$D$34/12</f>
        <v>104.05078125</v>
      </c>
      <c r="S13" s="102">
        <f>Пост!$D$34/12</f>
        <v>104.05078125</v>
      </c>
      <c r="T13" s="102">
        <f>Пост!$D$34/12</f>
        <v>104.05078125</v>
      </c>
      <c r="U13" s="102">
        <f>Пост!$D$34/12</f>
        <v>104.05078125</v>
      </c>
      <c r="V13" s="102">
        <f>Пост!$D$34/12</f>
        <v>104.05078125</v>
      </c>
      <c r="W13" s="102">
        <f>Пост!$D$34/12</f>
        <v>104.05078125</v>
      </c>
      <c r="X13" s="102">
        <f>Пост!$D$34/12</f>
        <v>104.05078125</v>
      </c>
      <c r="Y13" s="102">
        <f>Пост!$D$34/12</f>
        <v>104.05078125</v>
      </c>
      <c r="Z13" s="102">
        <f>Пост!$D$34/12</f>
        <v>104.05078125</v>
      </c>
      <c r="AA13" s="102">
        <f>Пост!$D$34/12</f>
        <v>104.05078125</v>
      </c>
      <c r="AB13" s="102">
        <f>Пост!$D$34/12</f>
        <v>104.05078125</v>
      </c>
      <c r="AC13" s="99">
        <f t="shared" si="7"/>
        <v>1248.609375</v>
      </c>
      <c r="AD13" s="102">
        <f>Пост!E34</f>
        <v>1248.609375</v>
      </c>
      <c r="AE13" s="102">
        <f>Пост!F34</f>
        <v>1248.609375</v>
      </c>
      <c r="AF13" s="102">
        <f>Пост!G34</f>
        <v>1248.609375</v>
      </c>
      <c r="AG13" s="102">
        <f>Пост!H34</f>
        <v>1248.609375</v>
      </c>
      <c r="AH13" s="102">
        <f>Пост!I34</f>
        <v>1248.609375</v>
      </c>
    </row>
    <row r="14" spans="1:34" ht="15" customHeight="1">
      <c r="A14" s="104" t="s">
        <v>29</v>
      </c>
      <c r="B14" s="98">
        <f t="shared" si="3"/>
        <v>5612.803692031192</v>
      </c>
      <c r="C14" s="99"/>
      <c r="D14" s="102">
        <f>кр!C9</f>
        <v>0</v>
      </c>
      <c r="E14" s="102">
        <f>кр!D9</f>
        <v>38.095487500000004</v>
      </c>
      <c r="F14" s="102">
        <f>кр!E9</f>
        <v>87.040975</v>
      </c>
      <c r="G14" s="102">
        <f>кр!F9</f>
        <v>104.946975</v>
      </c>
      <c r="H14" s="102">
        <f>кр!G9</f>
        <v>111.50612801999999</v>
      </c>
      <c r="I14" s="102">
        <f>кр!H9</f>
        <v>116.46928103999998</v>
      </c>
      <c r="J14" s="102">
        <f>кр!I9</f>
        <v>130.49986950559997</v>
      </c>
      <c r="K14" s="102">
        <f>кр!J9</f>
        <v>128.82679425552817</v>
      </c>
      <c r="L14" s="102">
        <f>кр!K9</f>
        <v>127.15371900545638</v>
      </c>
      <c r="M14" s="102">
        <f>кр!L9</f>
        <v>125.48064375538458</v>
      </c>
      <c r="N14" s="102">
        <f>кр!M9</f>
        <v>123.8075685053128</v>
      </c>
      <c r="O14" s="102">
        <f>кр!N9</f>
        <v>122.134493255241</v>
      </c>
      <c r="P14" s="99">
        <f t="shared" si="6"/>
        <v>1215.961934842523</v>
      </c>
      <c r="Q14" s="102">
        <f>кр!P9</f>
        <v>120.4614180051692</v>
      </c>
      <c r="R14" s="102">
        <f>кр!Q9</f>
        <v>118.7883427550974</v>
      </c>
      <c r="S14" s="102">
        <f>кр!R9</f>
        <v>117.1152675050256</v>
      </c>
      <c r="T14" s="102">
        <f>кр!S9</f>
        <v>115.4421922549538</v>
      </c>
      <c r="U14" s="102">
        <f>кр!T9</f>
        <v>113.769117004882</v>
      </c>
      <c r="V14" s="102">
        <f>кр!U9</f>
        <v>112.0960417548102</v>
      </c>
      <c r="W14" s="102">
        <f>кр!V9</f>
        <v>110.4229665047384</v>
      </c>
      <c r="X14" s="102">
        <f>кр!W9</f>
        <v>108.74989125466662</v>
      </c>
      <c r="Y14" s="102">
        <f>кр!X9</f>
        <v>107.07681600459482</v>
      </c>
      <c r="Z14" s="102">
        <f>кр!Y9</f>
        <v>105.40374075452303</v>
      </c>
      <c r="AA14" s="102">
        <f>кр!Z9</f>
        <v>103.73066550445122</v>
      </c>
      <c r="AB14" s="102">
        <f>кр!AA9</f>
        <v>102.05759025437942</v>
      </c>
      <c r="AC14" s="99">
        <f t="shared" si="7"/>
        <v>1335.1140495572918</v>
      </c>
      <c r="AD14" s="102">
        <f>кр!AO9</f>
        <v>1094.191213546953</v>
      </c>
      <c r="AE14" s="102">
        <f>кр!BB9</f>
        <v>853.268377536614</v>
      </c>
      <c r="AF14" s="102">
        <f>кр!BO9</f>
        <v>612.3455415262754</v>
      </c>
      <c r="AG14" s="102">
        <f>кр!CB9</f>
        <v>371.4227055159369</v>
      </c>
      <c r="AH14" s="102">
        <f>кр!CO9</f>
        <v>130.4998695055986</v>
      </c>
    </row>
    <row r="15" spans="1:34" ht="15" customHeight="1">
      <c r="A15" s="104" t="s">
        <v>37</v>
      </c>
      <c r="B15" s="98">
        <f t="shared" si="3"/>
        <v>36668.48217243307</v>
      </c>
      <c r="C15" s="103"/>
      <c r="D15" s="102">
        <f>D11-D12-D14-D13</f>
        <v>0</v>
      </c>
      <c r="E15" s="102">
        <f aca="true" t="shared" si="8" ref="E15:O15">E11-E12-E14-E13</f>
        <v>-38.095487500000004</v>
      </c>
      <c r="F15" s="102">
        <f t="shared" si="8"/>
        <v>-87.040975</v>
      </c>
      <c r="G15" s="102">
        <f t="shared" si="8"/>
        <v>-1288.4319819642853</v>
      </c>
      <c r="H15" s="102">
        <f t="shared" si="8"/>
        <v>-1091.4197064128568</v>
      </c>
      <c r="I15" s="102">
        <f t="shared" si="8"/>
        <v>-892.8114308614288</v>
      </c>
      <c r="J15" s="102">
        <f t="shared" si="8"/>
        <v>-703.2705907555999</v>
      </c>
      <c r="K15" s="102">
        <f t="shared" si="8"/>
        <v>-457.3118012198139</v>
      </c>
      <c r="L15" s="102">
        <f t="shared" si="8"/>
        <v>-211.35301168402788</v>
      </c>
      <c r="M15" s="102">
        <f t="shared" si="8"/>
        <v>-87.53707929109875</v>
      </c>
      <c r="N15" s="102">
        <f t="shared" si="8"/>
        <v>117.70742453040191</v>
      </c>
      <c r="O15" s="102">
        <f t="shared" si="8"/>
        <v>119.38049978047371</v>
      </c>
      <c r="P15" s="99">
        <f t="shared" si="6"/>
        <v>-4620.1841403782355</v>
      </c>
      <c r="Q15" s="102">
        <f aca="true" t="shared" si="9" ref="Q15:AB15">Q11-Q12-Q14-Q13</f>
        <v>121.05357503054552</v>
      </c>
      <c r="R15" s="102">
        <f t="shared" si="9"/>
        <v>326.2980788520453</v>
      </c>
      <c r="S15" s="102">
        <f t="shared" si="9"/>
        <v>327.9711541021171</v>
      </c>
      <c r="T15" s="102">
        <f t="shared" si="9"/>
        <v>329.6442293521889</v>
      </c>
      <c r="U15" s="102">
        <f t="shared" si="9"/>
        <v>534.8887331736896</v>
      </c>
      <c r="V15" s="102">
        <f t="shared" si="9"/>
        <v>536.5618084237614</v>
      </c>
      <c r="W15" s="102">
        <f t="shared" si="9"/>
        <v>538.2348836738332</v>
      </c>
      <c r="X15" s="102">
        <f t="shared" si="9"/>
        <v>539.907958923905</v>
      </c>
      <c r="Y15" s="102">
        <f t="shared" si="9"/>
        <v>541.5810341739768</v>
      </c>
      <c r="Z15" s="102">
        <f t="shared" si="9"/>
        <v>543.2541094240486</v>
      </c>
      <c r="AA15" s="102">
        <f t="shared" si="9"/>
        <v>544.9271846741203</v>
      </c>
      <c r="AB15" s="102">
        <f t="shared" si="9"/>
        <v>546.6002599241922</v>
      </c>
      <c r="AC15" s="99">
        <f t="shared" si="7"/>
        <v>5430.9230097284235</v>
      </c>
      <c r="AD15" s="102">
        <f>AD11-AD12-AD14-AD13</f>
        <v>6689.702988595899</v>
      </c>
      <c r="AE15" s="102">
        <f>AE11-AE12-AE14-AE13</f>
        <v>6930.625824606238</v>
      </c>
      <c r="AF15" s="102">
        <f>AF11-AF12-AF14-AF13</f>
        <v>7171.548660616576</v>
      </c>
      <c r="AG15" s="102">
        <f>AG11-AG12-AG14-AG13</f>
        <v>7412.471496626915</v>
      </c>
      <c r="AH15" s="102">
        <f>AH11-AH12-AH14-AH13</f>
        <v>7653.394332637254</v>
      </c>
    </row>
    <row r="16" spans="1:34" ht="15" customHeight="1">
      <c r="A16" s="104" t="s">
        <v>30</v>
      </c>
      <c r="B16" s="98">
        <f t="shared" si="3"/>
        <v>7333.696434486614</v>
      </c>
      <c r="C16" s="99"/>
      <c r="D16" s="102">
        <f>IF(D15+C18&lt;0,0,IF(C18&lt;0,(C18+D15)*Исх!$C$19,D15*Исх!$C$19))</f>
        <v>0</v>
      </c>
      <c r="E16" s="102">
        <f>IF(E15+D18&lt;0,0,IF(D18&lt;0,(D18+E15)*Исх!$C$19,E15*Исх!$C$19))</f>
        <v>0</v>
      </c>
      <c r="F16" s="102">
        <f>IF(F15+E18&lt;0,0,IF(E18&lt;0,(E18+F15)*Исх!$C$19,F15*Исх!$C$19))</f>
        <v>0</v>
      </c>
      <c r="G16" s="102">
        <f>IF(G15+F18&lt;0,0,IF(F18&lt;0,(F18+G15)*Исх!$C$19,G15*Исх!$C$19))</f>
        <v>0</v>
      </c>
      <c r="H16" s="102">
        <f>IF(H15+G18&lt;0,0,IF(G18&lt;0,(G18+H15)*Исх!$C$19,H15*Исх!$C$19))</f>
        <v>0</v>
      </c>
      <c r="I16" s="102">
        <f>IF(I15+H18&lt;0,0,IF(H18&lt;0,(H18+I15)*Исх!$C$19,I15*Исх!$C$19))</f>
        <v>0</v>
      </c>
      <c r="J16" s="102">
        <f>IF(J15+I18&lt;0,0,IF(I18&lt;0,(I18+J15)*Исх!$C$19,J15*Исх!$C$19))</f>
        <v>0</v>
      </c>
      <c r="K16" s="102">
        <f>IF(K15+J18&lt;0,0,IF(J18&lt;0,(J18+K15)*Исх!$C$19,K15*Исх!$C$19))</f>
        <v>0</v>
      </c>
      <c r="L16" s="102">
        <f>IF(L15+K18&lt;0,0,IF(K18&lt;0,(K18+L15)*Исх!$C$19,L15*Исх!$C$19))</f>
        <v>0</v>
      </c>
      <c r="M16" s="102">
        <f>IF(M15+L18&lt;0,0,IF(L18&lt;0,(L18+M15)*Исх!$C$19,M15*Исх!$C$19))</f>
        <v>0</v>
      </c>
      <c r="N16" s="102">
        <f>IF(N15+M18&lt;0,0,IF(M18&lt;0,(M18+N15)*Исх!$C$19,N15*Исх!$C$19))</f>
        <v>0</v>
      </c>
      <c r="O16" s="102">
        <f>IF(O15+N18&lt;0,0,IF(N18&lt;0,(N18+O15)*Исх!$C$19,O15*Исх!$C$19))</f>
        <v>0</v>
      </c>
      <c r="P16" s="99">
        <f t="shared" si="6"/>
        <v>0</v>
      </c>
      <c r="Q16" s="102">
        <f>IF(Q15+P18&lt;0,0,IF(P18&lt;0,(P18+Q15)*Исх!$C$19,Q15*Исх!$C$19))</f>
        <v>0</v>
      </c>
      <c r="R16" s="102">
        <f>IF(R15+Q18&lt;0,0,IF(Q18&lt;0,(Q18+R15)*Исх!$C$19,R15*Исх!$C$19))</f>
        <v>0</v>
      </c>
      <c r="S16" s="102">
        <f>IF(S15+R18&lt;0,0,IF(R18&lt;0,(R18+S15)*Исх!$C$19,S15*Исх!$C$19))</f>
        <v>0</v>
      </c>
      <c r="T16" s="102">
        <f>IF(T15+S18&lt;0,0,IF(S18&lt;0,(S18+T15)*Исх!$C$19,T15*Исх!$C$19))</f>
        <v>0</v>
      </c>
      <c r="U16" s="102">
        <f>IF(U15+T18&lt;0,0,IF(T18&lt;0,(T18+U15)*Исх!$C$19,U15*Исх!$C$19))</f>
        <v>0</v>
      </c>
      <c r="V16" s="102">
        <f>IF(V15+U18&lt;0,0,IF(U18&lt;0,(U18+V15)*Исх!$C$19,V15*Исх!$C$19))</f>
        <v>0</v>
      </c>
      <c r="W16" s="102">
        <f>IF(W15+V18&lt;0,0,IF(V18&lt;0,(V18+W15)*Исх!$C$19,W15*Исх!$C$19))</f>
        <v>0</v>
      </c>
      <c r="X16" s="102">
        <f>IF(X15+W18&lt;0,0,IF(W18&lt;0,(W18+X15)*Исх!$C$19,X15*Исх!$C$19))</f>
        <v>0</v>
      </c>
      <c r="Y16" s="102">
        <f>IF(Y15+X18&lt;0,0,IF(X18&lt;0,(X18+Y15)*Исх!$C$19,Y15*Исх!$C$19))</f>
        <v>0</v>
      </c>
      <c r="Z16" s="102">
        <f>IF(Z15+Y18&lt;0,0,IF(Y18&lt;0,(Y18+Z15)*Исх!$C$19,Z15*Исх!$C$19))</f>
        <v>0</v>
      </c>
      <c r="AA16" s="102">
        <f>IF(AA15+Z18&lt;0,0,IF(Z18&lt;0,(Z18+AA15)*Исх!$C$19,AA15*Исх!$C$19))</f>
        <v>52.82772188519923</v>
      </c>
      <c r="AB16" s="102">
        <f>IF(AB15+AA18&lt;0,0,IF(AA18&lt;0,(AA18+AB15)*Исх!$C$19,AB15*Исх!$C$19))</f>
        <v>109.32005198483844</v>
      </c>
      <c r="AC16" s="99">
        <f t="shared" si="7"/>
        <v>162.14777387003767</v>
      </c>
      <c r="AD16" s="102">
        <f>IF(AD15+AC18&lt;0,0,IF(AC18&lt;0,(AC18+AD15)*Исх!$C$19,AD15*Исх!$C$19))</f>
        <v>1337.94059771918</v>
      </c>
      <c r="AE16" s="102">
        <f>IF(AE15+AD18&lt;0,0,IF(AD18&lt;0,(AD18+AE15)*Исх!$C$19,AE15*Исх!$C$19))</f>
        <v>1386.1251649212477</v>
      </c>
      <c r="AF16" s="102">
        <f>IF(AF15+AE18&lt;0,0,IF(AE18&lt;0,(AE18+AF15)*Исх!$C$19,AF15*Исх!$C$19))</f>
        <v>1434.3097321233154</v>
      </c>
      <c r="AG16" s="102">
        <f>IF(AG15+AF18&lt;0,0,IF(AF18&lt;0,(AF18+AG15)*Исх!$C$19,AG15*Исх!$C$19))</f>
        <v>1482.494299325383</v>
      </c>
      <c r="AH16" s="102">
        <f>IF(AH15+AG18&lt;0,0,IF(AG18&lt;0,(AG18+AH15)*Исх!$C$19,AH15*Исх!$C$19))</f>
        <v>1530.6788665274507</v>
      </c>
    </row>
    <row r="17" spans="1:34" ht="15" customHeight="1">
      <c r="A17" s="104" t="s">
        <v>4</v>
      </c>
      <c r="B17" s="98">
        <f t="shared" si="3"/>
        <v>29334.785737946455</v>
      </c>
      <c r="C17" s="103"/>
      <c r="D17" s="102">
        <f aca="true" t="shared" si="10" ref="D17:Q17">D15-D16</f>
        <v>0</v>
      </c>
      <c r="E17" s="102">
        <f>E15-E16</f>
        <v>-38.095487500000004</v>
      </c>
      <c r="F17" s="102">
        <f t="shared" si="10"/>
        <v>-87.040975</v>
      </c>
      <c r="G17" s="102">
        <f t="shared" si="10"/>
        <v>-1288.4319819642853</v>
      </c>
      <c r="H17" s="102">
        <f t="shared" si="10"/>
        <v>-1091.4197064128568</v>
      </c>
      <c r="I17" s="102">
        <f t="shared" si="10"/>
        <v>-892.8114308614288</v>
      </c>
      <c r="J17" s="102">
        <f t="shared" si="10"/>
        <v>-703.2705907555999</v>
      </c>
      <c r="K17" s="102">
        <f t="shared" si="10"/>
        <v>-457.3118012198139</v>
      </c>
      <c r="L17" s="102">
        <f t="shared" si="10"/>
        <v>-211.35301168402788</v>
      </c>
      <c r="M17" s="102">
        <f t="shared" si="10"/>
        <v>-87.53707929109875</v>
      </c>
      <c r="N17" s="102">
        <f t="shared" si="10"/>
        <v>117.70742453040191</v>
      </c>
      <c r="O17" s="102">
        <f t="shared" si="10"/>
        <v>119.38049978047371</v>
      </c>
      <c r="P17" s="99">
        <f t="shared" si="6"/>
        <v>-4620.1841403782355</v>
      </c>
      <c r="Q17" s="102">
        <f t="shared" si="10"/>
        <v>121.05357503054552</v>
      </c>
      <c r="R17" s="102">
        <f aca="true" t="shared" si="11" ref="R17:AF17">R15-R16</f>
        <v>326.2980788520453</v>
      </c>
      <c r="S17" s="102">
        <f t="shared" si="11"/>
        <v>327.9711541021171</v>
      </c>
      <c r="T17" s="102">
        <f t="shared" si="11"/>
        <v>329.6442293521889</v>
      </c>
      <c r="U17" s="102">
        <f t="shared" si="11"/>
        <v>534.8887331736896</v>
      </c>
      <c r="V17" s="102">
        <f t="shared" si="11"/>
        <v>536.5618084237614</v>
      </c>
      <c r="W17" s="102">
        <f t="shared" si="11"/>
        <v>538.2348836738332</v>
      </c>
      <c r="X17" s="102">
        <f t="shared" si="11"/>
        <v>539.907958923905</v>
      </c>
      <c r="Y17" s="102">
        <f t="shared" si="11"/>
        <v>541.5810341739768</v>
      </c>
      <c r="Z17" s="102">
        <f t="shared" si="11"/>
        <v>543.2541094240486</v>
      </c>
      <c r="AA17" s="102">
        <f t="shared" si="11"/>
        <v>492.0994627889211</v>
      </c>
      <c r="AB17" s="102">
        <f t="shared" si="11"/>
        <v>437.2802079393538</v>
      </c>
      <c r="AC17" s="99">
        <f t="shared" si="7"/>
        <v>5268.775235858387</v>
      </c>
      <c r="AD17" s="102">
        <f t="shared" si="11"/>
        <v>5351.762390876719</v>
      </c>
      <c r="AE17" s="102">
        <f t="shared" si="11"/>
        <v>5544.500659684991</v>
      </c>
      <c r="AF17" s="102">
        <f t="shared" si="11"/>
        <v>5737.238928493261</v>
      </c>
      <c r="AG17" s="102">
        <f>AG15-AG16</f>
        <v>5929.977197301532</v>
      </c>
      <c r="AH17" s="102">
        <f>AH15-AH16</f>
        <v>6122.715466109803</v>
      </c>
    </row>
    <row r="18" spans="1:34" ht="15" customHeight="1">
      <c r="A18" s="104" t="s">
        <v>35</v>
      </c>
      <c r="B18" s="105">
        <f>AH18</f>
        <v>29334.785737946455</v>
      </c>
      <c r="C18" s="106"/>
      <c r="D18" s="102">
        <f>C18+D17</f>
        <v>0</v>
      </c>
      <c r="E18" s="102">
        <f>D18+E17</f>
        <v>-38.095487500000004</v>
      </c>
      <c r="F18" s="102">
        <f aca="true" t="shared" si="12" ref="F18:O18">E18+F17</f>
        <v>-125.13646250000001</v>
      </c>
      <c r="G18" s="102">
        <f t="shared" si="12"/>
        <v>-1413.5684444642854</v>
      </c>
      <c r="H18" s="102">
        <f t="shared" si="12"/>
        <v>-2504.9881508771423</v>
      </c>
      <c r="I18" s="102">
        <f t="shared" si="12"/>
        <v>-3397.799581738571</v>
      </c>
      <c r="J18" s="102">
        <f t="shared" si="12"/>
        <v>-4101.070172494171</v>
      </c>
      <c r="K18" s="102">
        <f t="shared" si="12"/>
        <v>-4558.381973713985</v>
      </c>
      <c r="L18" s="102">
        <f t="shared" si="12"/>
        <v>-4769.734985398012</v>
      </c>
      <c r="M18" s="102">
        <f t="shared" si="12"/>
        <v>-4857.272064689111</v>
      </c>
      <c r="N18" s="102">
        <f t="shared" si="12"/>
        <v>-4739.564640158709</v>
      </c>
      <c r="O18" s="102">
        <f t="shared" si="12"/>
        <v>-4620.1841403782355</v>
      </c>
      <c r="P18" s="99">
        <f>O18</f>
        <v>-4620.1841403782355</v>
      </c>
      <c r="Q18" s="102">
        <f>P18+Q17</f>
        <v>-4499.13056534769</v>
      </c>
      <c r="R18" s="102">
        <f aca="true" t="shared" si="13" ref="R18:AA18">Q18+R17</f>
        <v>-4172.832486495645</v>
      </c>
      <c r="S18" s="102">
        <f t="shared" si="13"/>
        <v>-3844.861332393528</v>
      </c>
      <c r="T18" s="102">
        <f t="shared" si="13"/>
        <v>-3515.2171030413388</v>
      </c>
      <c r="U18" s="102">
        <f t="shared" si="13"/>
        <v>-2980.328369867649</v>
      </c>
      <c r="V18" s="102">
        <f t="shared" si="13"/>
        <v>-2443.766561443888</v>
      </c>
      <c r="W18" s="102">
        <f t="shared" si="13"/>
        <v>-1905.5316777700546</v>
      </c>
      <c r="X18" s="102">
        <f t="shared" si="13"/>
        <v>-1365.6237188461496</v>
      </c>
      <c r="Y18" s="102">
        <f t="shared" si="13"/>
        <v>-824.0426846721728</v>
      </c>
      <c r="Z18" s="102">
        <f t="shared" si="13"/>
        <v>-280.7885752481242</v>
      </c>
      <c r="AA18" s="102">
        <f t="shared" si="13"/>
        <v>211.3108875407969</v>
      </c>
      <c r="AB18" s="102">
        <f>AA18+AB17</f>
        <v>648.5910954801507</v>
      </c>
      <c r="AC18" s="99">
        <f>AB18</f>
        <v>648.5910954801507</v>
      </c>
      <c r="AD18" s="102">
        <f>AC18+AD17</f>
        <v>6000.353486356869</v>
      </c>
      <c r="AE18" s="102">
        <f>AD18+AE17</f>
        <v>11544.85414604186</v>
      </c>
      <c r="AF18" s="102">
        <f>AE18+AF17</f>
        <v>17282.09307453512</v>
      </c>
      <c r="AG18" s="102">
        <f>AF18+AG17</f>
        <v>23212.070271836652</v>
      </c>
      <c r="AH18" s="102">
        <f>AG18+AH17</f>
        <v>29334.785737946455</v>
      </c>
    </row>
    <row r="19" spans="1:177" ht="1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</row>
    <row r="20" spans="1:177" ht="15" customHeight="1">
      <c r="A20" s="90" t="s">
        <v>204</v>
      </c>
      <c r="B20" s="108"/>
      <c r="C20" s="108"/>
      <c r="E20" s="91"/>
      <c r="F20" s="91"/>
      <c r="G20" s="91">
        <v>0.55</v>
      </c>
      <c r="H20" s="91">
        <v>0.6</v>
      </c>
      <c r="I20" s="91">
        <v>0.65</v>
      </c>
      <c r="J20" s="91">
        <v>0.7</v>
      </c>
      <c r="K20" s="91">
        <v>0.76</v>
      </c>
      <c r="L20" s="91">
        <v>0.82</v>
      </c>
      <c r="M20" s="91">
        <v>0.85</v>
      </c>
      <c r="N20" s="91">
        <v>0.9</v>
      </c>
      <c r="O20" s="91">
        <v>0.9</v>
      </c>
      <c r="P20" s="91">
        <f>AVERAGE(G20:O20)</f>
        <v>0.7477777777777779</v>
      </c>
      <c r="Q20" s="91">
        <v>0.9</v>
      </c>
      <c r="R20" s="91">
        <v>0.95</v>
      </c>
      <c r="S20" s="91">
        <v>0.95</v>
      </c>
      <c r="T20" s="91">
        <v>0.95</v>
      </c>
      <c r="U20" s="91">
        <v>1</v>
      </c>
      <c r="V20" s="91">
        <v>1</v>
      </c>
      <c r="W20" s="91">
        <v>1</v>
      </c>
      <c r="X20" s="91">
        <v>1</v>
      </c>
      <c r="Y20" s="91">
        <v>1</v>
      </c>
      <c r="Z20" s="91">
        <v>1</v>
      </c>
      <c r="AA20" s="91">
        <v>1</v>
      </c>
      <c r="AB20" s="91">
        <v>1</v>
      </c>
      <c r="AC20" s="91">
        <f>AVERAGE(Q20:AB20)</f>
        <v>0.9791666666666666</v>
      </c>
      <c r="AD20" s="91">
        <v>1</v>
      </c>
      <c r="AE20" s="91">
        <v>1</v>
      </c>
      <c r="AF20" s="91">
        <v>1</v>
      </c>
      <c r="AG20" s="91">
        <v>1</v>
      </c>
      <c r="AH20" s="91">
        <v>1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34" ht="12.75">
      <c r="A22" s="109" t="s">
        <v>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7" s="113" customFormat="1" ht="12.75">
      <c r="A23" s="276" t="s">
        <v>3</v>
      </c>
      <c r="B23" s="279" t="s">
        <v>0</v>
      </c>
      <c r="C23" s="110"/>
      <c r="D23" s="270">
        <f>D3</f>
        <v>2012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  <c r="Q23" s="270">
        <f>Q3</f>
        <v>2013</v>
      </c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2"/>
      <c r="AD23" s="111">
        <f>AD3</f>
        <v>2014</v>
      </c>
      <c r="AE23" s="111">
        <f>AE3</f>
        <v>2015</v>
      </c>
      <c r="AF23" s="111">
        <f>AF3</f>
        <v>2016</v>
      </c>
      <c r="AG23" s="111">
        <f>AG3</f>
        <v>2017</v>
      </c>
      <c r="AH23" s="111">
        <f>AH3</f>
        <v>2018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</row>
    <row r="24" spans="1:47" s="113" customFormat="1" ht="19.5" customHeight="1">
      <c r="A24" s="277"/>
      <c r="B24" s="280"/>
      <c r="C24" s="114"/>
      <c r="D24" s="115">
        <f>D4</f>
        <v>1</v>
      </c>
      <c r="E24" s="115">
        <f aca="true" t="shared" si="14" ref="E24:O24">E4</f>
        <v>2</v>
      </c>
      <c r="F24" s="115">
        <f t="shared" si="14"/>
        <v>3</v>
      </c>
      <c r="G24" s="115">
        <f t="shared" si="14"/>
        <v>4</v>
      </c>
      <c r="H24" s="115">
        <f t="shared" si="14"/>
        <v>5</v>
      </c>
      <c r="I24" s="115">
        <f t="shared" si="14"/>
        <v>6</v>
      </c>
      <c r="J24" s="115">
        <f t="shared" si="14"/>
        <v>7</v>
      </c>
      <c r="K24" s="115">
        <f t="shared" si="14"/>
        <v>8</v>
      </c>
      <c r="L24" s="115">
        <f t="shared" si="14"/>
        <v>9</v>
      </c>
      <c r="M24" s="115">
        <f t="shared" si="14"/>
        <v>10</v>
      </c>
      <c r="N24" s="115">
        <f t="shared" si="14"/>
        <v>11</v>
      </c>
      <c r="O24" s="115">
        <f t="shared" si="14"/>
        <v>12</v>
      </c>
      <c r="P24" s="116" t="s">
        <v>0</v>
      </c>
      <c r="Q24" s="115">
        <f>Q4</f>
        <v>1</v>
      </c>
      <c r="R24" s="115">
        <f aca="true" t="shared" si="15" ref="R24:AB24">R4</f>
        <v>2</v>
      </c>
      <c r="S24" s="115">
        <f t="shared" si="15"/>
        <v>3</v>
      </c>
      <c r="T24" s="115">
        <f t="shared" si="15"/>
        <v>4</v>
      </c>
      <c r="U24" s="115">
        <f t="shared" si="15"/>
        <v>5</v>
      </c>
      <c r="V24" s="115">
        <f t="shared" si="15"/>
        <v>6</v>
      </c>
      <c r="W24" s="115">
        <f t="shared" si="15"/>
        <v>7</v>
      </c>
      <c r="X24" s="115">
        <f t="shared" si="15"/>
        <v>8</v>
      </c>
      <c r="Y24" s="115">
        <f t="shared" si="15"/>
        <v>9</v>
      </c>
      <c r="Z24" s="115">
        <f t="shared" si="15"/>
        <v>10</v>
      </c>
      <c r="AA24" s="115">
        <f t="shared" si="15"/>
        <v>11</v>
      </c>
      <c r="AB24" s="115">
        <f t="shared" si="15"/>
        <v>12</v>
      </c>
      <c r="AC24" s="116" t="s">
        <v>0</v>
      </c>
      <c r="AD24" s="116"/>
      <c r="AE24" s="116"/>
      <c r="AF24" s="116"/>
      <c r="AG24" s="116"/>
      <c r="AH24" s="116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47" s="113" customFormat="1" ht="12.75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47" s="113" customFormat="1" ht="12.75">
      <c r="A26" s="117" t="s">
        <v>254</v>
      </c>
      <c r="B26" s="105">
        <f>P26+AC26+AD26+AE26+AF26+AG26+AH26</f>
        <v>50451.428571428565</v>
      </c>
      <c r="C26" s="119"/>
      <c r="D26" s="119">
        <f>D5*ндс</f>
        <v>0</v>
      </c>
      <c r="E26" s="119">
        <f>E5*ндс</f>
        <v>0</v>
      </c>
      <c r="F26" s="119">
        <f aca="true" t="shared" si="16" ref="F26:O26">F5*ндс</f>
        <v>0</v>
      </c>
      <c r="G26" s="119">
        <f t="shared" si="16"/>
        <v>353.57142857142856</v>
      </c>
      <c r="H26" s="119">
        <f t="shared" si="16"/>
        <v>385.71428571428567</v>
      </c>
      <c r="I26" s="119">
        <f t="shared" si="16"/>
        <v>417.85714285714283</v>
      </c>
      <c r="J26" s="119">
        <f t="shared" si="16"/>
        <v>449.99999999999994</v>
      </c>
      <c r="K26" s="119">
        <f t="shared" si="16"/>
        <v>488.5714285714285</v>
      </c>
      <c r="L26" s="119">
        <f t="shared" si="16"/>
        <v>527.142857142857</v>
      </c>
      <c r="M26" s="119">
        <f>M5*ндс</f>
        <v>546.4285714285714</v>
      </c>
      <c r="N26" s="119">
        <f t="shared" si="16"/>
        <v>578.5714285714286</v>
      </c>
      <c r="O26" s="119">
        <f t="shared" si="16"/>
        <v>578.5714285714286</v>
      </c>
      <c r="P26" s="120">
        <f>SUM(D26:O26)</f>
        <v>4326.428571428572</v>
      </c>
      <c r="Q26" s="119">
        <f aca="true" t="shared" si="17" ref="Q26:AF26">Q5*ндс</f>
        <v>578.5714285714286</v>
      </c>
      <c r="R26" s="119">
        <f t="shared" si="17"/>
        <v>610.7142857142857</v>
      </c>
      <c r="S26" s="119">
        <f t="shared" si="17"/>
        <v>610.7142857142857</v>
      </c>
      <c r="T26" s="119">
        <f t="shared" si="17"/>
        <v>610.7142857142857</v>
      </c>
      <c r="U26" s="119">
        <f t="shared" si="17"/>
        <v>642.8571428571428</v>
      </c>
      <c r="V26" s="119">
        <f t="shared" si="17"/>
        <v>642.8571428571428</v>
      </c>
      <c r="W26" s="119">
        <f t="shared" si="17"/>
        <v>642.8571428571428</v>
      </c>
      <c r="X26" s="119">
        <f t="shared" si="17"/>
        <v>642.8571428571428</v>
      </c>
      <c r="Y26" s="119">
        <f t="shared" si="17"/>
        <v>642.8571428571428</v>
      </c>
      <c r="Z26" s="119">
        <f t="shared" si="17"/>
        <v>642.8571428571428</v>
      </c>
      <c r="AA26" s="119">
        <f t="shared" si="17"/>
        <v>642.8571428571428</v>
      </c>
      <c r="AB26" s="119">
        <f t="shared" si="17"/>
        <v>642.8571428571428</v>
      </c>
      <c r="AC26" s="120">
        <f>SUM(Q26:AB26)</f>
        <v>7553.571428571429</v>
      </c>
      <c r="AD26" s="119">
        <f t="shared" si="17"/>
        <v>7714.285714285714</v>
      </c>
      <c r="AE26" s="119">
        <f t="shared" si="17"/>
        <v>7714.285714285714</v>
      </c>
      <c r="AF26" s="119">
        <f t="shared" si="17"/>
        <v>7714.285714285714</v>
      </c>
      <c r="AG26" s="119">
        <f>AG5*ндс</f>
        <v>7714.285714285714</v>
      </c>
      <c r="AH26" s="119">
        <f>AH5*ндс</f>
        <v>7714.285714285714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47" s="113" customFormat="1" ht="12.75">
      <c r="A27" s="117" t="s">
        <v>255</v>
      </c>
      <c r="B27" s="105">
        <f>P27+AC27+AD27+AE27+AF27+AG27+AH27</f>
        <v>22241.59837714286</v>
      </c>
      <c r="C27" s="119"/>
      <c r="D27" s="119"/>
      <c r="E27" s="119"/>
      <c r="F27" s="119"/>
      <c r="G27" s="119">
        <f>(G8+G12-SUM(Пост!$C$6:Пост!$C$7)-Пост!$C$21-Пост!$C$24)*ндс</f>
        <v>209.9590628571428</v>
      </c>
      <c r="H27" s="119">
        <f>(H8+H12-SUM(Пост!$C$6:Пост!$C$7)-Пост!$C$21-Пост!$C$24)*ндс</f>
        <v>217.67334857142856</v>
      </c>
      <c r="I27" s="119">
        <f>(I8+I12-SUM(Пост!$C$6:Пост!$C$7)-Пост!$C$21-Пост!$C$24)*ндс</f>
        <v>225.3876342857142</v>
      </c>
      <c r="J27" s="119">
        <f>(J8+J12-SUM(Пост!$C$6:Пост!$C$7)-Пост!$C$21-Пост!$C$24)*ндс</f>
        <v>233.10191999999998</v>
      </c>
      <c r="K27" s="119">
        <f>(K8+K12-SUM(Пост!$C$6:Пост!$C$7)-Пост!$C$21-Пост!$C$24)*ндс</f>
        <v>242.3590628571428</v>
      </c>
      <c r="L27" s="119">
        <f>(L8+L12-SUM(Пост!$C$6:Пост!$C$7)-Пост!$C$21-Пост!$C$24)*ндс</f>
        <v>251.61620571428566</v>
      </c>
      <c r="M27" s="119">
        <f>(M8+M12-SUM(Пост!$C$6:Пост!$C$7)-Пост!$C$21-Пост!$C$24)*ндс</f>
        <v>256.24477714285706</v>
      </c>
      <c r="N27" s="119">
        <f>(N8+N12-SUM(Пост!$C$6:Пост!$C$7)-Пост!$C$21-Пост!$C$24)*ндс</f>
        <v>263.95906285714284</v>
      </c>
      <c r="O27" s="119">
        <f>(O8+O12-SUM(Пост!$C$6:Пост!$C$7)-Пост!$C$21-Пост!$C$24)*ндс</f>
        <v>263.95906285714284</v>
      </c>
      <c r="P27" s="120">
        <f>SUM(D27:O27)</f>
        <v>2164.2601371428564</v>
      </c>
      <c r="Q27" s="119">
        <f>(Q8+Q12-SUM(Пост!$D$6:Пост!$D$7)-Пост!$D$21-Пост!$D$24)*ндс</f>
        <v>263.95906285714284</v>
      </c>
      <c r="R27" s="119">
        <f>(R8+R12-SUM(Пост!$D$6:Пост!$D$7)-Пост!$D$21-Пост!$D$24)*ндс</f>
        <v>271.67334857142856</v>
      </c>
      <c r="S27" s="119">
        <f>(S8+S12-SUM(Пост!$D$6:Пост!$D$7)-Пост!$D$21-Пост!$D$24)*ндс</f>
        <v>271.67334857142856</v>
      </c>
      <c r="T27" s="119">
        <f>(T8+T12-SUM(Пост!$D$6:Пост!$D$7)-Пост!$D$21-Пост!$D$24)*ндс</f>
        <v>271.67334857142856</v>
      </c>
      <c r="U27" s="119">
        <f>(U8+U12-SUM(Пост!$D$6:Пост!$D$7)-Пост!$D$21-Пост!$D$24)*ндс</f>
        <v>279.3876342857142</v>
      </c>
      <c r="V27" s="119">
        <f>(V8+V12-SUM(Пост!$D$6:Пост!$D$7)-Пост!$D$21-Пост!$D$24)*ндс</f>
        <v>279.3876342857142</v>
      </c>
      <c r="W27" s="119">
        <f>(W8+W12-SUM(Пост!$D$6:Пост!$D$7)-Пост!$D$21-Пост!$D$24)*ндс</f>
        <v>279.3876342857142</v>
      </c>
      <c r="X27" s="119">
        <f>(X8+X12-SUM(Пост!$D$6:Пост!$D$7)-Пост!$D$21-Пост!$D$24)*ндс</f>
        <v>279.3876342857142</v>
      </c>
      <c r="Y27" s="119">
        <f>(Y8+Y12-SUM(Пост!$D$6:Пост!$D$7)-Пост!$D$21-Пост!$D$24)*ндс</f>
        <v>279.3876342857142</v>
      </c>
      <c r="Z27" s="119">
        <f>(Z8+Z12-SUM(Пост!$D$6:Пост!$D$7)-Пост!$D$21-Пост!$D$24)*ндс</f>
        <v>279.3876342857142</v>
      </c>
      <c r="AA27" s="119">
        <f>(AA8+AA12-SUM(Пост!$D$6:Пост!$D$7)-Пост!$D$21-Пост!$D$24)*ндс</f>
        <v>279.3876342857142</v>
      </c>
      <c r="AB27" s="119">
        <f>(AB8+AB12-SUM(Пост!$D$6:Пост!$D$7)-Пост!$D$21-Пост!$D$24)*ндс</f>
        <v>279.3876342857142</v>
      </c>
      <c r="AC27" s="120">
        <f>SUM(Q27:AB27)</f>
        <v>3314.0801828571425</v>
      </c>
      <c r="AD27" s="119">
        <f>(AD8+AD12-(SUM(Пост!E6:Пост!E7)+Пост!E21+Пост!E24)*12)*ндс</f>
        <v>3352.6516114285714</v>
      </c>
      <c r="AE27" s="119">
        <f>(AE8+AE12-(SUM(Пост!F6:Пост!F7)+Пост!F21+Пост!F24)*12)*ндс</f>
        <v>3352.6516114285714</v>
      </c>
      <c r="AF27" s="119">
        <f>(AF8+AF12-(SUM(Пост!G6:Пост!G7)+Пост!G21+Пост!G24)*12)*ндс</f>
        <v>3352.6516114285714</v>
      </c>
      <c r="AG27" s="119">
        <f>(AG8+AG12-(SUM(Пост!H6:Пост!H7)+Пост!H21+Пост!H24)*12)*ндс</f>
        <v>3352.6516114285714</v>
      </c>
      <c r="AH27" s="119">
        <f>(AH8+AH12-(SUM(Пост!I6:Пост!I7)+Пост!I21+Пост!I24)*12)*ндс</f>
        <v>3352.6516114285714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47" s="113" customFormat="1" ht="12.75">
      <c r="A28" s="117" t="s">
        <v>256</v>
      </c>
      <c r="B28" s="105">
        <f>P28+AC28+AD28+AE28+AF28+AG28+AH28</f>
        <v>1498.3312499999997</v>
      </c>
      <c r="C28" s="119"/>
      <c r="D28" s="119">
        <f>Инв!E30/Исх!$C$18*ндс</f>
        <v>583.0941964285714</v>
      </c>
      <c r="E28" s="119">
        <f>Инв!F30/Исх!$C$18*ндс</f>
        <v>749.165625</v>
      </c>
      <c r="F28" s="119">
        <f>Инв!G30/Исх!$C$18*ндс</f>
        <v>166.07142857142856</v>
      </c>
      <c r="G28" s="119">
        <f>Инв!H30/Исх!$C$18*ндс</f>
        <v>0</v>
      </c>
      <c r="H28" s="119">
        <f>Инв!I30/Исх!$C$18*ндс</f>
        <v>0</v>
      </c>
      <c r="I28" s="119">
        <f>Инв!J30/Исх!$C$18*ндс</f>
        <v>0</v>
      </c>
      <c r="J28" s="119">
        <f>Инв!K30/Исх!$C$18*ндс</f>
        <v>0</v>
      </c>
      <c r="K28" s="119">
        <f>Инв!L30/Исх!$C$18*ндс</f>
        <v>0</v>
      </c>
      <c r="L28" s="119">
        <f>Инв!M30/Исх!$C$18*ндс</f>
        <v>0</v>
      </c>
      <c r="M28" s="119">
        <f>Инв!N30/Исх!$C$18*ндс</f>
        <v>0</v>
      </c>
      <c r="N28" s="119">
        <f>Инв!O30/Исх!$C$18*ндс</f>
        <v>0</v>
      </c>
      <c r="O28" s="119">
        <f>Инв!P30/Исх!$C$18*ндс</f>
        <v>0</v>
      </c>
      <c r="P28" s="120">
        <f>SUM(D28:O28)</f>
        <v>1498.3312499999997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F28" s="120"/>
      <c r="AG28" s="120"/>
      <c r="AH28" s="120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47" s="113" customFormat="1" ht="12.75">
      <c r="A29" s="117" t="s">
        <v>33</v>
      </c>
      <c r="B29" s="105">
        <f>P29+AC29+AD29+AE29+AF29+AG29+AH29</f>
        <v>26711.49894428571</v>
      </c>
      <c r="C29" s="119"/>
      <c r="D29" s="119">
        <f>D26-D27-D28</f>
        <v>-583.0941964285714</v>
      </c>
      <c r="E29" s="119">
        <f aca="true" t="shared" si="18" ref="E29:O29">E26-E27-E28</f>
        <v>-749.165625</v>
      </c>
      <c r="F29" s="119">
        <f t="shared" si="18"/>
        <v>-166.07142857142856</v>
      </c>
      <c r="G29" s="119">
        <f t="shared" si="18"/>
        <v>143.61236571428574</v>
      </c>
      <c r="H29" s="119">
        <f t="shared" si="18"/>
        <v>168.0409371428571</v>
      </c>
      <c r="I29" s="119">
        <f t="shared" si="18"/>
        <v>192.46950857142863</v>
      </c>
      <c r="J29" s="119">
        <f t="shared" si="18"/>
        <v>216.89807999999996</v>
      </c>
      <c r="K29" s="119">
        <f t="shared" si="18"/>
        <v>246.2123657142857</v>
      </c>
      <c r="L29" s="119">
        <f t="shared" si="18"/>
        <v>275.5266514285713</v>
      </c>
      <c r="M29" s="119">
        <f t="shared" si="18"/>
        <v>290.1837942857144</v>
      </c>
      <c r="N29" s="119">
        <f t="shared" si="18"/>
        <v>314.6123657142857</v>
      </c>
      <c r="O29" s="119">
        <f t="shared" si="18"/>
        <v>314.6123657142857</v>
      </c>
      <c r="P29" s="120">
        <f>SUM(D29:O29)</f>
        <v>663.8371842857144</v>
      </c>
      <c r="Q29" s="119">
        <f aca="true" t="shared" si="19" ref="Q29:AB29">Q26-Q27-Q28</f>
        <v>314.6123657142857</v>
      </c>
      <c r="R29" s="119">
        <f t="shared" si="19"/>
        <v>339.0409371428571</v>
      </c>
      <c r="S29" s="119">
        <f t="shared" si="19"/>
        <v>339.0409371428571</v>
      </c>
      <c r="T29" s="119">
        <f t="shared" si="19"/>
        <v>339.0409371428571</v>
      </c>
      <c r="U29" s="119">
        <f t="shared" si="19"/>
        <v>363.46950857142855</v>
      </c>
      <c r="V29" s="119">
        <f t="shared" si="19"/>
        <v>363.46950857142855</v>
      </c>
      <c r="W29" s="119">
        <f t="shared" si="19"/>
        <v>363.46950857142855</v>
      </c>
      <c r="X29" s="119">
        <f t="shared" si="19"/>
        <v>363.46950857142855</v>
      </c>
      <c r="Y29" s="119">
        <f t="shared" si="19"/>
        <v>363.46950857142855</v>
      </c>
      <c r="Z29" s="119">
        <f t="shared" si="19"/>
        <v>363.46950857142855</v>
      </c>
      <c r="AA29" s="119">
        <f t="shared" si="19"/>
        <v>363.46950857142855</v>
      </c>
      <c r="AB29" s="119">
        <f t="shared" si="19"/>
        <v>363.46950857142855</v>
      </c>
      <c r="AC29" s="120">
        <f>SUM(Q29:AB29)</f>
        <v>4239.491245714285</v>
      </c>
      <c r="AD29" s="119">
        <f>AD26-AD27-AD28</f>
        <v>4361.634102857142</v>
      </c>
      <c r="AE29" s="119">
        <f>AE26-AE27-AE28</f>
        <v>4361.634102857142</v>
      </c>
      <c r="AF29" s="119">
        <f>AF26-AF27-AF28</f>
        <v>4361.634102857142</v>
      </c>
      <c r="AG29" s="119">
        <f>AG26-AG27-AG28</f>
        <v>4361.634102857142</v>
      </c>
      <c r="AH29" s="119">
        <f>AH26-AH27-AH28</f>
        <v>4361.634102857142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47" s="113" customFormat="1" ht="12.75">
      <c r="A30" s="117" t="s">
        <v>257</v>
      </c>
      <c r="B30" s="105">
        <f>AH30</f>
        <v>26711.49894428571</v>
      </c>
      <c r="C30" s="119"/>
      <c r="D30" s="119">
        <f>D29</f>
        <v>-583.0941964285714</v>
      </c>
      <c r="E30" s="119">
        <f>D30+E29</f>
        <v>-1332.2598214285713</v>
      </c>
      <c r="F30" s="119">
        <f aca="true" t="shared" si="20" ref="F30:O30">E30+F29</f>
        <v>-1498.3312499999997</v>
      </c>
      <c r="G30" s="119">
        <f t="shared" si="20"/>
        <v>-1354.718884285714</v>
      </c>
      <c r="H30" s="119">
        <f t="shared" si="20"/>
        <v>-1186.677947142857</v>
      </c>
      <c r="I30" s="119">
        <f t="shared" si="20"/>
        <v>-994.2084385714284</v>
      </c>
      <c r="J30" s="119">
        <f t="shared" si="20"/>
        <v>-777.3103585714284</v>
      </c>
      <c r="K30" s="119">
        <f t="shared" si="20"/>
        <v>-531.0979928571427</v>
      </c>
      <c r="L30" s="119">
        <f t="shared" si="20"/>
        <v>-255.57134142857137</v>
      </c>
      <c r="M30" s="119">
        <f t="shared" si="20"/>
        <v>34.61245285714301</v>
      </c>
      <c r="N30" s="119">
        <f t="shared" si="20"/>
        <v>349.2248185714287</v>
      </c>
      <c r="O30" s="119">
        <f t="shared" si="20"/>
        <v>663.8371842857144</v>
      </c>
      <c r="P30" s="120">
        <f>O30</f>
        <v>663.8371842857144</v>
      </c>
      <c r="Q30" s="119">
        <f aca="true" t="shared" si="21" ref="Q30:AB30">P30+Q29</f>
        <v>978.4495500000002</v>
      </c>
      <c r="R30" s="119">
        <f t="shared" si="21"/>
        <v>1317.4904871428573</v>
      </c>
      <c r="S30" s="119">
        <f t="shared" si="21"/>
        <v>1656.5314242857144</v>
      </c>
      <c r="T30" s="119">
        <f t="shared" si="21"/>
        <v>1995.5723614285714</v>
      </c>
      <c r="U30" s="119">
        <f t="shared" si="21"/>
        <v>2359.04187</v>
      </c>
      <c r="V30" s="119">
        <f t="shared" si="21"/>
        <v>2722.5113785714284</v>
      </c>
      <c r="W30" s="119">
        <f t="shared" si="21"/>
        <v>3085.980887142857</v>
      </c>
      <c r="X30" s="119">
        <f t="shared" si="21"/>
        <v>3449.450395714285</v>
      </c>
      <c r="Y30" s="119">
        <f t="shared" si="21"/>
        <v>3812.9199042857135</v>
      </c>
      <c r="Z30" s="119">
        <f t="shared" si="21"/>
        <v>4176.389412857142</v>
      </c>
      <c r="AA30" s="119">
        <f t="shared" si="21"/>
        <v>4539.85892142857</v>
      </c>
      <c r="AB30" s="119">
        <f t="shared" si="21"/>
        <v>4903.328429999999</v>
      </c>
      <c r="AC30" s="120">
        <f>AB30</f>
        <v>4903.328429999999</v>
      </c>
      <c r="AD30" s="119">
        <f>AC30+AD29</f>
        <v>9264.962532857142</v>
      </c>
      <c r="AE30" s="119">
        <f>AD30+AE29</f>
        <v>13626.596635714284</v>
      </c>
      <c r="AF30" s="119">
        <f>AE30+AF29</f>
        <v>17988.230738571427</v>
      </c>
      <c r="AG30" s="119">
        <f>AF30+AG29</f>
        <v>22349.86484142857</v>
      </c>
      <c r="AH30" s="119">
        <f>AG30+AH29</f>
        <v>26711.49894428571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47" s="113" customFormat="1" ht="12.75">
      <c r="A31" s="117" t="s">
        <v>258</v>
      </c>
      <c r="B31" s="105">
        <f>P31+AC31+AD31+AE31+AF31+AG31+AH31</f>
        <v>26711.49894428571</v>
      </c>
      <c r="C31" s="119"/>
      <c r="D31" s="119">
        <f>IF(C30+D29&gt;=0,IF(C30&lt;0,C30+D29,D29),0)</f>
        <v>0</v>
      </c>
      <c r="E31" s="119">
        <f aca="true" t="shared" si="22" ref="E31:AH31">IF(D30+E29&gt;=0,IF(D30&lt;0,D30+E29,E29),0)</f>
        <v>0</v>
      </c>
      <c r="F31" s="119">
        <f t="shared" si="22"/>
        <v>0</v>
      </c>
      <c r="G31" s="119">
        <f t="shared" si="22"/>
        <v>0</v>
      </c>
      <c r="H31" s="119">
        <f t="shared" si="22"/>
        <v>0</v>
      </c>
      <c r="I31" s="119">
        <f t="shared" si="22"/>
        <v>0</v>
      </c>
      <c r="J31" s="119">
        <f t="shared" si="22"/>
        <v>0</v>
      </c>
      <c r="K31" s="119">
        <f t="shared" si="22"/>
        <v>0</v>
      </c>
      <c r="L31" s="119">
        <f t="shared" si="22"/>
        <v>0</v>
      </c>
      <c r="M31" s="119">
        <f t="shared" si="22"/>
        <v>34.61245285714301</v>
      </c>
      <c r="N31" s="119">
        <f t="shared" si="22"/>
        <v>314.6123657142857</v>
      </c>
      <c r="O31" s="119">
        <f t="shared" si="22"/>
        <v>314.6123657142857</v>
      </c>
      <c r="P31" s="120">
        <f>SUM(D31:O31)</f>
        <v>663.8371842857144</v>
      </c>
      <c r="Q31" s="119">
        <f t="shared" si="22"/>
        <v>314.6123657142857</v>
      </c>
      <c r="R31" s="119">
        <f t="shared" si="22"/>
        <v>339.0409371428571</v>
      </c>
      <c r="S31" s="119">
        <f t="shared" si="22"/>
        <v>339.0409371428571</v>
      </c>
      <c r="T31" s="119">
        <f t="shared" si="22"/>
        <v>339.0409371428571</v>
      </c>
      <c r="U31" s="119">
        <f t="shared" si="22"/>
        <v>363.46950857142855</v>
      </c>
      <c r="V31" s="119">
        <f t="shared" si="22"/>
        <v>363.46950857142855</v>
      </c>
      <c r="W31" s="119">
        <f t="shared" si="22"/>
        <v>363.46950857142855</v>
      </c>
      <c r="X31" s="119">
        <f t="shared" si="22"/>
        <v>363.46950857142855</v>
      </c>
      <c r="Y31" s="119">
        <f t="shared" si="22"/>
        <v>363.46950857142855</v>
      </c>
      <c r="Z31" s="119">
        <f t="shared" si="22"/>
        <v>363.46950857142855</v>
      </c>
      <c r="AA31" s="119">
        <f t="shared" si="22"/>
        <v>363.46950857142855</v>
      </c>
      <c r="AB31" s="119">
        <f t="shared" si="22"/>
        <v>363.46950857142855</v>
      </c>
      <c r="AC31" s="120">
        <f>SUM(Q31:AB31)</f>
        <v>4239.491245714285</v>
      </c>
      <c r="AD31" s="119">
        <f t="shared" si="22"/>
        <v>4361.634102857142</v>
      </c>
      <c r="AE31" s="119">
        <f t="shared" si="22"/>
        <v>4361.634102857142</v>
      </c>
      <c r="AF31" s="119">
        <f t="shared" si="22"/>
        <v>4361.634102857142</v>
      </c>
      <c r="AG31" s="119">
        <f t="shared" si="22"/>
        <v>4361.634102857142</v>
      </c>
      <c r="AH31" s="119">
        <f t="shared" si="22"/>
        <v>4361.634102857142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3" ht="12.75">
      <c r="B33" s="121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PageLayoutView="0" workbookViewId="0" topLeftCell="A1">
      <pane xSplit="3" ySplit="4" topLeftCell="D20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C49" sqref="AC49"/>
    </sheetView>
  </sheetViews>
  <sheetFormatPr defaultColWidth="10.125" defaultRowHeight="12.75" outlineLevelCol="1"/>
  <cols>
    <col min="1" max="1" width="38.125" style="123" customWidth="1"/>
    <col min="2" max="2" width="2.375" style="123" customWidth="1"/>
    <col min="3" max="3" width="7.125" style="123" customWidth="1"/>
    <col min="4" max="4" width="11.375" style="123" hidden="1" customWidth="1" outlineLevel="1"/>
    <col min="5" max="11" width="7.375" style="123" hidden="1" customWidth="1" outlineLevel="1"/>
    <col min="12" max="12" width="8.00390625" style="123" hidden="1" customWidth="1" outlineLevel="1"/>
    <col min="13" max="13" width="7.875" style="123" hidden="1" customWidth="1" outlineLevel="1"/>
    <col min="14" max="15" width="8.125" style="123" hidden="1" customWidth="1" outlineLevel="1"/>
    <col min="16" max="16" width="9.875" style="123" customWidth="1" collapsed="1"/>
    <col min="17" max="23" width="8.375" style="123" hidden="1" customWidth="1" outlineLevel="1"/>
    <col min="24" max="25" width="8.75390625" style="123" hidden="1" customWidth="1" outlineLevel="1"/>
    <col min="26" max="26" width="8.625" style="123" hidden="1" customWidth="1" outlineLevel="1"/>
    <col min="27" max="27" width="9.00390625" style="123" hidden="1" customWidth="1" outlineLevel="1"/>
    <col min="28" max="28" width="9.125" style="123" hidden="1" customWidth="1" outlineLevel="1"/>
    <col min="29" max="29" width="10.125" style="123" customWidth="1" collapsed="1"/>
    <col min="30" max="30" width="9.875" style="123" customWidth="1"/>
    <col min="31" max="31" width="9.75390625" style="123" customWidth="1"/>
    <col min="32" max="32" width="9.625" style="123" customWidth="1"/>
    <col min="33" max="34" width="9.75390625" style="123" customWidth="1"/>
    <col min="35" max="16384" width="10.125" style="123" customWidth="1"/>
  </cols>
  <sheetData>
    <row r="1" spans="1:3" ht="12.75">
      <c r="A1" s="62" t="s">
        <v>172</v>
      </c>
      <c r="B1" s="122"/>
      <c r="C1" s="122"/>
    </row>
    <row r="2" spans="1:34" ht="17.25" customHeight="1">
      <c r="A2" s="62"/>
      <c r="C2" s="12" t="str">
        <f>Исх!$C$9</f>
        <v>тыс.тг.</v>
      </c>
      <c r="P2" s="124"/>
      <c r="AC2" s="124"/>
      <c r="AD2" s="124"/>
      <c r="AE2" s="124"/>
      <c r="AF2" s="124"/>
      <c r="AG2" s="124"/>
      <c r="AH2" s="124"/>
    </row>
    <row r="3" spans="1:34" ht="12.75" customHeight="1">
      <c r="A3" s="281" t="s">
        <v>3</v>
      </c>
      <c r="B3" s="283"/>
      <c r="C3" s="126"/>
      <c r="D3" s="284">
        <v>2012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>
        <v>2013</v>
      </c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127">
        <f>Q3+1</f>
        <v>2014</v>
      </c>
      <c r="AE3" s="127">
        <f>AD3+1</f>
        <v>2015</v>
      </c>
      <c r="AF3" s="127">
        <f>AE3+1</f>
        <v>2016</v>
      </c>
      <c r="AG3" s="127">
        <f>AF3+1</f>
        <v>2017</v>
      </c>
      <c r="AH3" s="127">
        <f>AG3+1</f>
        <v>2018</v>
      </c>
    </row>
    <row r="4" spans="1:34" ht="12.75">
      <c r="A4" s="282"/>
      <c r="B4" s="283"/>
      <c r="C4" s="128"/>
      <c r="D4" s="129">
        <v>1</v>
      </c>
      <c r="E4" s="129">
        <f>D4+1</f>
        <v>2</v>
      </c>
      <c r="F4" s="129">
        <f aca="true" t="shared" si="0" ref="F4:O4">E4+1</f>
        <v>3</v>
      </c>
      <c r="G4" s="129">
        <f t="shared" si="0"/>
        <v>4</v>
      </c>
      <c r="H4" s="129">
        <f t="shared" si="0"/>
        <v>5</v>
      </c>
      <c r="I4" s="129">
        <f t="shared" si="0"/>
        <v>6</v>
      </c>
      <c r="J4" s="129">
        <f t="shared" si="0"/>
        <v>7</v>
      </c>
      <c r="K4" s="129">
        <f t="shared" si="0"/>
        <v>8</v>
      </c>
      <c r="L4" s="129">
        <f t="shared" si="0"/>
        <v>9</v>
      </c>
      <c r="M4" s="129">
        <f t="shared" si="0"/>
        <v>10</v>
      </c>
      <c r="N4" s="129">
        <f t="shared" si="0"/>
        <v>11</v>
      </c>
      <c r="O4" s="129">
        <f t="shared" si="0"/>
        <v>12</v>
      </c>
      <c r="P4" s="125" t="s">
        <v>0</v>
      </c>
      <c r="Q4" s="129">
        <v>1</v>
      </c>
      <c r="R4" s="129">
        <f aca="true" t="shared" si="1" ref="R4:AB4">Q4+1</f>
        <v>2</v>
      </c>
      <c r="S4" s="129">
        <f t="shared" si="1"/>
        <v>3</v>
      </c>
      <c r="T4" s="129">
        <f t="shared" si="1"/>
        <v>4</v>
      </c>
      <c r="U4" s="129">
        <f t="shared" si="1"/>
        <v>5</v>
      </c>
      <c r="V4" s="129">
        <f t="shared" si="1"/>
        <v>6</v>
      </c>
      <c r="W4" s="129">
        <f t="shared" si="1"/>
        <v>7</v>
      </c>
      <c r="X4" s="129">
        <f t="shared" si="1"/>
        <v>8</v>
      </c>
      <c r="Y4" s="129">
        <f t="shared" si="1"/>
        <v>9</v>
      </c>
      <c r="Z4" s="129">
        <f t="shared" si="1"/>
        <v>10</v>
      </c>
      <c r="AA4" s="129">
        <f t="shared" si="1"/>
        <v>11</v>
      </c>
      <c r="AB4" s="129">
        <f t="shared" si="1"/>
        <v>12</v>
      </c>
      <c r="AC4" s="125" t="s">
        <v>0</v>
      </c>
      <c r="AD4" s="125"/>
      <c r="AE4" s="125"/>
      <c r="AF4" s="125"/>
      <c r="AG4" s="125"/>
      <c r="AH4" s="125"/>
    </row>
    <row r="5" spans="1:41" s="134" customFormat="1" ht="15" customHeight="1">
      <c r="A5" s="130" t="s">
        <v>173</v>
      </c>
      <c r="B5" s="131"/>
      <c r="C5" s="132">
        <f>C11+C6</f>
        <v>0</v>
      </c>
      <c r="D5" s="132">
        <f>D11+D6</f>
        <v>5442.2125</v>
      </c>
      <c r="E5" s="132">
        <f aca="true" t="shared" si="2" ref="E5:AH5">E11+E6</f>
        <v>12434.425</v>
      </c>
      <c r="F5" s="132">
        <f t="shared" si="2"/>
        <v>14992.424999999997</v>
      </c>
      <c r="G5" s="132">
        <f t="shared" si="2"/>
        <v>14745.961853035711</v>
      </c>
      <c r="H5" s="132">
        <f t="shared" si="2"/>
        <v>14475.070134642854</v>
      </c>
      <c r="I5" s="132">
        <f t="shared" si="2"/>
        <v>15048.727984821426</v>
      </c>
      <c r="J5" s="132">
        <f t="shared" si="2"/>
        <v>14178.149869058647</v>
      </c>
      <c r="K5" s="132">
        <f t="shared" si="2"/>
        <v>13553.530542831653</v>
      </c>
      <c r="L5" s="132">
        <f t="shared" si="2"/>
        <v>13174.870006140447</v>
      </c>
      <c r="M5" s="132">
        <f t="shared" si="2"/>
        <v>12920.02540184217</v>
      </c>
      <c r="N5" s="132">
        <f t="shared" si="2"/>
        <v>12870.425301365392</v>
      </c>
      <c r="O5" s="132">
        <f t="shared" si="2"/>
        <v>12822.49827613869</v>
      </c>
      <c r="P5" s="132">
        <f t="shared" si="2"/>
        <v>12822.49827613869</v>
      </c>
      <c r="Q5" s="132">
        <f t="shared" si="2"/>
        <v>12776.244326162056</v>
      </c>
      <c r="R5" s="132">
        <f t="shared" si="2"/>
        <v>12935.234880006921</v>
      </c>
      <c r="S5" s="132">
        <f t="shared" si="2"/>
        <v>13095.89850910186</v>
      </c>
      <c r="T5" s="132">
        <f t="shared" si="2"/>
        <v>13258.235213446871</v>
      </c>
      <c r="U5" s="132">
        <f t="shared" si="2"/>
        <v>13625.816421613381</v>
      </c>
      <c r="V5" s="132">
        <f t="shared" si="2"/>
        <v>13995.070705029962</v>
      </c>
      <c r="W5" s="132">
        <f t="shared" si="2"/>
        <v>14365.998063696616</v>
      </c>
      <c r="X5" s="132">
        <f t="shared" si="2"/>
        <v>14738.598497613342</v>
      </c>
      <c r="Y5" s="132">
        <f t="shared" si="2"/>
        <v>15112.87200678014</v>
      </c>
      <c r="Z5" s="132">
        <f t="shared" si="2"/>
        <v>15488.81859119701</v>
      </c>
      <c r="AA5" s="132">
        <f t="shared" si="2"/>
        <v>15813.610528978752</v>
      </c>
      <c r="AB5" s="132">
        <f t="shared" si="2"/>
        <v>16083.583211910925</v>
      </c>
      <c r="AC5" s="132">
        <f t="shared" si="2"/>
        <v>16083.583211910925</v>
      </c>
      <c r="AD5" s="132">
        <f t="shared" si="2"/>
        <v>19427.655302701507</v>
      </c>
      <c r="AE5" s="132">
        <f t="shared" si="2"/>
        <v>22964.465662300354</v>
      </c>
      <c r="AF5" s="132">
        <f t="shared" si="2"/>
        <v>26694.014290707477</v>
      </c>
      <c r="AG5" s="132">
        <f t="shared" si="2"/>
        <v>30616.301187922865</v>
      </c>
      <c r="AH5" s="132">
        <f t="shared" si="2"/>
        <v>34731.32635394653</v>
      </c>
      <c r="AI5" s="133"/>
      <c r="AJ5" s="133"/>
      <c r="AK5" s="133"/>
      <c r="AL5" s="133"/>
      <c r="AM5" s="133"/>
      <c r="AN5" s="133"/>
      <c r="AO5" s="133"/>
    </row>
    <row r="6" spans="1:34" s="134" customFormat="1" ht="15" customHeight="1">
      <c r="A6" s="130" t="s">
        <v>174</v>
      </c>
      <c r="B6" s="131"/>
      <c r="C6" s="132">
        <f>SUM(C7:C10)</f>
        <v>0</v>
      </c>
      <c r="D6" s="132">
        <f>SUM(D7:D10)</f>
        <v>0</v>
      </c>
      <c r="E6" s="132">
        <f aca="true" t="shared" si="3" ref="E6:AH6">SUM(E7:E10)</f>
        <v>0</v>
      </c>
      <c r="F6" s="132">
        <f t="shared" si="3"/>
        <v>1007.9999999999998</v>
      </c>
      <c r="G6" s="132">
        <f t="shared" si="3"/>
        <v>1009.1999999999997</v>
      </c>
      <c r="H6" s="132">
        <f t="shared" si="3"/>
        <v>1010.3999999999997</v>
      </c>
      <c r="I6" s="132">
        <f t="shared" si="3"/>
        <v>1880.5781399999996</v>
      </c>
      <c r="J6" s="132">
        <f t="shared" si="3"/>
        <v>1330.9488854872204</v>
      </c>
      <c r="K6" s="132">
        <f t="shared" si="3"/>
        <v>1056.5927062245128</v>
      </c>
      <c r="L6" s="132">
        <f t="shared" si="3"/>
        <v>1057.5096022118776</v>
      </c>
      <c r="M6" s="132">
        <f t="shared" si="3"/>
        <v>1162.2871205921713</v>
      </c>
      <c r="N6" s="132">
        <f t="shared" si="3"/>
        <v>1216.737801365395</v>
      </c>
      <c r="O6" s="132">
        <f t="shared" si="3"/>
        <v>1272.8615573886902</v>
      </c>
      <c r="P6" s="132">
        <f t="shared" si="3"/>
        <v>1272.8615573886902</v>
      </c>
      <c r="Q6" s="132">
        <f t="shared" si="3"/>
        <v>1330.658388662057</v>
      </c>
      <c r="R6" s="132">
        <f t="shared" si="3"/>
        <v>1593.6997237569228</v>
      </c>
      <c r="S6" s="132">
        <f t="shared" si="3"/>
        <v>1858.4141341018617</v>
      </c>
      <c r="T6" s="132">
        <f t="shared" si="3"/>
        <v>2124.801619696872</v>
      </c>
      <c r="U6" s="132">
        <f t="shared" si="3"/>
        <v>2596.4336091133828</v>
      </c>
      <c r="V6" s="132">
        <f t="shared" si="3"/>
        <v>3069.7386737799643</v>
      </c>
      <c r="W6" s="132">
        <f t="shared" si="3"/>
        <v>3544.7168136966175</v>
      </c>
      <c r="X6" s="132">
        <f t="shared" si="3"/>
        <v>4021.3680288633445</v>
      </c>
      <c r="Y6" s="132">
        <f t="shared" si="3"/>
        <v>4499.692319280142</v>
      </c>
      <c r="Z6" s="132">
        <f t="shared" si="3"/>
        <v>4979.689684947011</v>
      </c>
      <c r="AA6" s="132">
        <f t="shared" si="3"/>
        <v>5408.532403978754</v>
      </c>
      <c r="AB6" s="132">
        <f t="shared" si="3"/>
        <v>5782.555868160927</v>
      </c>
      <c r="AC6" s="132">
        <f t="shared" si="3"/>
        <v>5782.555868160927</v>
      </c>
      <c r="AD6" s="132">
        <f t="shared" si="3"/>
        <v>10375.237333951509</v>
      </c>
      <c r="AE6" s="132">
        <f t="shared" si="3"/>
        <v>15160.657068550354</v>
      </c>
      <c r="AF6" s="132">
        <f t="shared" si="3"/>
        <v>20138.81507195748</v>
      </c>
      <c r="AG6" s="132">
        <f t="shared" si="3"/>
        <v>25309.71134417287</v>
      </c>
      <c r="AH6" s="132">
        <f t="shared" si="3"/>
        <v>30673.345885196533</v>
      </c>
    </row>
    <row r="7" spans="1:34" ht="15" customHeight="1">
      <c r="A7" s="135" t="s">
        <v>175</v>
      </c>
      <c r="B7" s="131"/>
      <c r="C7" s="136"/>
      <c r="D7" s="136">
        <f>'1-Ф3'!D35</f>
        <v>0</v>
      </c>
      <c r="E7" s="136">
        <f>'1-Ф3'!E35</f>
        <v>0</v>
      </c>
      <c r="F7" s="136">
        <f>'1-Ф3'!F35</f>
        <v>0</v>
      </c>
      <c r="G7" s="136">
        <f>'1-Ф3'!G35</f>
        <v>0</v>
      </c>
      <c r="H7" s="136">
        <f>'1-Ф3'!H35</f>
        <v>0</v>
      </c>
      <c r="I7" s="136">
        <f>'1-Ф3'!I35</f>
        <v>868.9781400000002</v>
      </c>
      <c r="J7" s="136">
        <f>'1-Ф3'!J35</f>
        <v>318.1488854872207</v>
      </c>
      <c r="K7" s="136">
        <f>'1-Ф3'!K35</f>
        <v>42.59270622451325</v>
      </c>
      <c r="L7" s="136">
        <f>'1-Ф3'!L35</f>
        <v>42.3096022118778</v>
      </c>
      <c r="M7" s="136">
        <f>'1-Ф3'!M35</f>
        <v>145.8871205921715</v>
      </c>
      <c r="N7" s="136">
        <f>'1-Ф3'!N35</f>
        <v>199.13780136539518</v>
      </c>
      <c r="O7" s="136">
        <f>'1-Ф3'!O35</f>
        <v>254.06155738869043</v>
      </c>
      <c r="P7" s="136">
        <f>'1-Ф3'!P35</f>
        <v>254.06155738869043</v>
      </c>
      <c r="Q7" s="136">
        <f>'1-Ф3'!Q35</f>
        <v>310.6583886620573</v>
      </c>
      <c r="R7" s="136">
        <f>'1-Ф3'!R35</f>
        <v>572.4997237569233</v>
      </c>
      <c r="S7" s="136">
        <f>'1-Ф3'!S35</f>
        <v>836.0141341018619</v>
      </c>
      <c r="T7" s="136">
        <f>'1-Ф3'!T35</f>
        <v>1101.2016196968723</v>
      </c>
      <c r="U7" s="136">
        <f>'1-Ф3'!U35</f>
        <v>1571.6336091133826</v>
      </c>
      <c r="V7" s="136">
        <f>'1-Ф3'!V35</f>
        <v>2043.7386737799645</v>
      </c>
      <c r="W7" s="136">
        <f>'1-Ф3'!W35</f>
        <v>2517.516813696618</v>
      </c>
      <c r="X7" s="136">
        <f>'1-Ф3'!X35</f>
        <v>2992.9680288633444</v>
      </c>
      <c r="Y7" s="136">
        <f>'1-Ф3'!Y35</f>
        <v>3470.0923192801424</v>
      </c>
      <c r="Z7" s="136">
        <f>'1-Ф3'!Z35</f>
        <v>3948.8896849470116</v>
      </c>
      <c r="AA7" s="136">
        <f>'1-Ф3'!AA35</f>
        <v>4376.532403978754</v>
      </c>
      <c r="AB7" s="136">
        <f>'1-Ф3'!AB35</f>
        <v>4749.3558681609275</v>
      </c>
      <c r="AC7" s="136">
        <f>'1-Ф3'!AC35</f>
        <v>4749.3558681609275</v>
      </c>
      <c r="AD7" s="136">
        <f>'1-Ф3'!AD35</f>
        <v>9327.637333951508</v>
      </c>
      <c r="AE7" s="136">
        <f>'1-Ф3'!AE35</f>
        <v>14098.657068550354</v>
      </c>
      <c r="AF7" s="136">
        <f>'1-Ф3'!AF35</f>
        <v>19062.41507195748</v>
      </c>
      <c r="AG7" s="136">
        <f>'1-Ф3'!AG35</f>
        <v>24218.91134417287</v>
      </c>
      <c r="AH7" s="136">
        <f>'1-Ф3'!AH35</f>
        <v>29568.145885196533</v>
      </c>
    </row>
    <row r="8" spans="1:34" ht="15" customHeight="1">
      <c r="A8" s="135" t="s">
        <v>176</v>
      </c>
      <c r="B8" s="131"/>
      <c r="C8" s="136"/>
      <c r="D8" s="136">
        <f>C8+'2-ф2'!D5-'1-Ф3'!D9/Исх!$C$18</f>
        <v>0</v>
      </c>
      <c r="E8" s="136">
        <f>D8+'2-ф2'!E5-'1-Ф3'!E9/Исх!$C$18</f>
        <v>0</v>
      </c>
      <c r="F8" s="136">
        <f>E8+'2-ф2'!F5-'1-Ф3'!F9/Исх!$C$18</f>
        <v>0</v>
      </c>
      <c r="G8" s="136">
        <f>F8+'2-ф2'!G5-'1-Ф3'!G9/Исх!$C$18</f>
        <v>0</v>
      </c>
      <c r="H8" s="136">
        <f>G8+'2-ф2'!H5-'1-Ф3'!H9/Исх!$C$18</f>
        <v>0</v>
      </c>
      <c r="I8" s="136">
        <f>H8+'2-ф2'!I5-'1-Ф3'!I9/Исх!$C$18</f>
        <v>0</v>
      </c>
      <c r="J8" s="136">
        <f>I8+'2-ф2'!J5-'1-Ф3'!J9/Исх!$C$18</f>
        <v>0</v>
      </c>
      <c r="K8" s="136">
        <f>J8+'2-ф2'!K5-'1-Ф3'!K9/Исх!$C$18</f>
        <v>0</v>
      </c>
      <c r="L8" s="136">
        <f>K8+'2-ф2'!L5-'1-Ф3'!L9/Исх!$C$18</f>
        <v>0</v>
      </c>
      <c r="M8" s="136">
        <f>L8+'2-ф2'!M5-'1-Ф3'!M9/Исх!$C$18</f>
        <v>0</v>
      </c>
      <c r="N8" s="136">
        <f>M8+'2-ф2'!N5-'1-Ф3'!N9/Исх!$C$18</f>
        <v>0</v>
      </c>
      <c r="O8" s="136">
        <f>N8+'2-ф2'!O5-'1-Ф3'!O9/Исх!$C$18</f>
        <v>0</v>
      </c>
      <c r="P8" s="136">
        <f>O8</f>
        <v>0</v>
      </c>
      <c r="Q8" s="136">
        <f>P8+'2-ф2'!Q5-'1-Ф3'!Q9/Исх!$C$18</f>
        <v>0</v>
      </c>
      <c r="R8" s="136">
        <f>Q8+'2-ф2'!R5-'1-Ф3'!R9/Исх!$C$18</f>
        <v>0</v>
      </c>
      <c r="S8" s="136">
        <f>R8+'2-ф2'!S5-'1-Ф3'!S9/Исх!$C$18</f>
        <v>0</v>
      </c>
      <c r="T8" s="136">
        <f>S8+'2-ф2'!T5-'1-Ф3'!T9/Исх!$C$18</f>
        <v>0</v>
      </c>
      <c r="U8" s="136">
        <f>T8+'2-ф2'!U5-'1-Ф3'!U9/Исх!$C$18</f>
        <v>0</v>
      </c>
      <c r="V8" s="136">
        <f>U8+'2-ф2'!V5-'1-Ф3'!V9/Исх!$C$18</f>
        <v>0</v>
      </c>
      <c r="W8" s="136">
        <f>V8+'2-ф2'!W5-'1-Ф3'!W9/Исх!$C$18</f>
        <v>0</v>
      </c>
      <c r="X8" s="136">
        <f>W8+'2-ф2'!X5-'1-Ф3'!X9/Исх!$C$18</f>
        <v>0</v>
      </c>
      <c r="Y8" s="136">
        <f>X8+'2-ф2'!Y5-'1-Ф3'!Y9/Исх!$C$18</f>
        <v>0</v>
      </c>
      <c r="Z8" s="136">
        <f>Y8+'2-ф2'!Z5-'1-Ф3'!Z9/Исх!$C$18</f>
        <v>0</v>
      </c>
      <c r="AA8" s="136">
        <f>Z8+'2-ф2'!AA5-'1-Ф3'!AA9/Исх!$C$18</f>
        <v>0</v>
      </c>
      <c r="AB8" s="136">
        <f>AA8+'2-ф2'!AB5-'1-Ф3'!AB9/Исх!$C$18</f>
        <v>0</v>
      </c>
      <c r="AC8" s="136">
        <f>AB8</f>
        <v>0</v>
      </c>
      <c r="AD8" s="136">
        <f>AC8+'2-ф2'!AD5-'1-Ф3'!AD9/Исх!$C$18</f>
        <v>0</v>
      </c>
      <c r="AE8" s="136">
        <f>AD8+'2-ф2'!AE5-'1-Ф3'!AE9/Исх!$C$18</f>
        <v>0</v>
      </c>
      <c r="AF8" s="136">
        <f>AE8+'2-ф2'!AF5-'1-Ф3'!AF9/Исх!$C$18</f>
        <v>0</v>
      </c>
      <c r="AG8" s="136">
        <f>AF8+'2-ф2'!AG5-'1-Ф3'!AG9/Исх!$C$18</f>
        <v>0</v>
      </c>
      <c r="AH8" s="136">
        <f>AG8+'2-ф2'!AH5-'1-Ф3'!AH9/Исх!$C$18</f>
        <v>0</v>
      </c>
    </row>
    <row r="9" spans="1:34" ht="15" customHeight="1">
      <c r="A9" s="135" t="s">
        <v>177</v>
      </c>
      <c r="B9" s="131"/>
      <c r="C9" s="136"/>
      <c r="D9" s="136">
        <f>C9+'1-Ф3'!D13/Исх!$C$18-'2-ф2'!D9</f>
        <v>0</v>
      </c>
      <c r="E9" s="136">
        <f>D9+'1-Ф3'!E13/Исх!$C$18-'2-ф2'!E9</f>
        <v>0</v>
      </c>
      <c r="F9" s="136">
        <f>E9+'1-Ф3'!F13/Исх!$C$18-'2-ф2'!F9</f>
        <v>899.9999999999998</v>
      </c>
      <c r="G9" s="136">
        <f>F9+'1-Ф3'!G13/Исх!$C$18-'2-ф2'!G9</f>
        <v>899.9999999999998</v>
      </c>
      <c r="H9" s="136">
        <f>G9+'1-Ф3'!H13/Исх!$C$18-'2-ф2'!H9</f>
        <v>899.9999999999998</v>
      </c>
      <c r="I9" s="136">
        <f>H9+'1-Ф3'!I13/Исх!$C$18-'2-ф2'!I9</f>
        <v>899.9999999999997</v>
      </c>
      <c r="J9" s="136">
        <f>I9+'1-Ф3'!J13/Исх!$C$18-'2-ф2'!J9</f>
        <v>899.9999999999998</v>
      </c>
      <c r="K9" s="136">
        <f>J9+'1-Ф3'!K13/Исх!$C$18-'2-ф2'!K9</f>
        <v>899.9999999999997</v>
      </c>
      <c r="L9" s="136">
        <f>K9+'1-Ф3'!L13/Исх!$C$18-'2-ф2'!L9</f>
        <v>899.9999999999998</v>
      </c>
      <c r="M9" s="136">
        <f>L9+'1-Ф3'!M13/Исх!$C$18-'2-ф2'!M9</f>
        <v>899.9999999999998</v>
      </c>
      <c r="N9" s="136">
        <f>M9+'1-Ф3'!N13/Исх!$C$18-'2-ф2'!N9</f>
        <v>899.9999999999998</v>
      </c>
      <c r="O9" s="136">
        <f>N9+'1-Ф3'!O13/Исх!$C$18-'2-ф2'!O9</f>
        <v>899.9999999999998</v>
      </c>
      <c r="P9" s="136">
        <f>O9</f>
        <v>899.9999999999998</v>
      </c>
      <c r="Q9" s="136">
        <f>P9+'1-Ф3'!Q13/Исх!$C$18-'2-ф2'!Q9</f>
        <v>899.9999999999998</v>
      </c>
      <c r="R9" s="136">
        <f>Q9+'1-Ф3'!R13/Исх!$C$18-'2-ф2'!R9</f>
        <v>899.9999999999995</v>
      </c>
      <c r="S9" s="136">
        <f>R9+'1-Ф3'!S13/Исх!$C$18-'2-ф2'!S9</f>
        <v>899.9999999999995</v>
      </c>
      <c r="T9" s="136">
        <f>S9+'1-Ф3'!T13/Исх!$C$18-'2-ф2'!T9</f>
        <v>899.9999999999995</v>
      </c>
      <c r="U9" s="136">
        <f>T9+'1-Ф3'!U13/Исх!$C$18-'2-ф2'!U9</f>
        <v>899.9999999999998</v>
      </c>
      <c r="V9" s="136">
        <f>U9+'1-Ф3'!V13/Исх!$C$18-'2-ф2'!V9</f>
        <v>899.9999999999998</v>
      </c>
      <c r="W9" s="136">
        <f>V9+'1-Ф3'!W13/Исх!$C$18-'2-ф2'!W9</f>
        <v>899.9999999999998</v>
      </c>
      <c r="X9" s="136">
        <f>W9+'1-Ф3'!X13/Исх!$C$18-'2-ф2'!X9</f>
        <v>899.9999999999998</v>
      </c>
      <c r="Y9" s="136">
        <f>X9+'1-Ф3'!Y13/Исх!$C$18-'2-ф2'!Y9</f>
        <v>899.9999999999998</v>
      </c>
      <c r="Z9" s="136">
        <f>Y9+'1-Ф3'!Z13/Исх!$C$18-'2-ф2'!Z9</f>
        <v>899.9999999999998</v>
      </c>
      <c r="AA9" s="136">
        <f>Z9+'1-Ф3'!AA13/Исх!$C$18-'2-ф2'!AA9</f>
        <v>899.9999999999998</v>
      </c>
      <c r="AB9" s="136">
        <f>AA9+'1-Ф3'!AB13/Исх!$C$18-'2-ф2'!AB9</f>
        <v>899.9999999999998</v>
      </c>
      <c r="AC9" s="136">
        <f>AB9</f>
        <v>899.9999999999998</v>
      </c>
      <c r="AD9" s="136">
        <f>AC9+'1-Ф3'!AD13/Исх!$C$18-'2-ф2'!AD9</f>
        <v>900</v>
      </c>
      <c r="AE9" s="136">
        <f>AD9+'1-Ф3'!AE13/Исх!$C$18-'2-ф2'!AE9</f>
        <v>900</v>
      </c>
      <c r="AF9" s="136">
        <f>AE9+'1-Ф3'!AF13/Исх!$C$18-'2-ф2'!AF9</f>
        <v>900</v>
      </c>
      <c r="AG9" s="136">
        <f>AF9+'1-Ф3'!AG13/Исх!$C$18-'2-ф2'!AG9</f>
        <v>900</v>
      </c>
      <c r="AH9" s="136">
        <f>AG9+'1-Ф3'!AH13/Исх!$C$18-'2-ф2'!AH9</f>
        <v>900</v>
      </c>
    </row>
    <row r="10" spans="1:34" ht="15" customHeight="1">
      <c r="A10" s="135" t="s">
        <v>178</v>
      </c>
      <c r="B10" s="131"/>
      <c r="C10" s="136"/>
      <c r="D10" s="136"/>
      <c r="E10" s="136"/>
      <c r="F10" s="136">
        <f>E10+'1-Ф3'!F13/Исх!$C$18*ндс</f>
        <v>107.99999999999997</v>
      </c>
      <c r="G10" s="136">
        <f>F10+Пост!$C$7*ндс</f>
        <v>109.19999999999997</v>
      </c>
      <c r="H10" s="136">
        <f>G10+Пост!$C$7*ндс</f>
        <v>110.39999999999998</v>
      </c>
      <c r="I10" s="136">
        <f>H10+Пост!$C$7*ндс</f>
        <v>111.59999999999998</v>
      </c>
      <c r="J10" s="136">
        <f>I10+Пост!$C$7*ндс</f>
        <v>112.79999999999998</v>
      </c>
      <c r="K10" s="136">
        <f>J10+Пост!$C$7*ндс</f>
        <v>113.99999999999999</v>
      </c>
      <c r="L10" s="136">
        <f>K10+Пост!$C$7*ндс</f>
        <v>115.19999999999999</v>
      </c>
      <c r="M10" s="136">
        <f>L10+Пост!$C$7*ндс</f>
        <v>116.39999999999999</v>
      </c>
      <c r="N10" s="136">
        <f>M10+Пост!$C$7*ндс</f>
        <v>117.6</v>
      </c>
      <c r="O10" s="136">
        <f>N10+Пост!$C$7*ндс</f>
        <v>118.8</v>
      </c>
      <c r="P10" s="136">
        <f>O10</f>
        <v>118.8</v>
      </c>
      <c r="Q10" s="136">
        <f>P10+Пост!$D$7*ндс</f>
        <v>120</v>
      </c>
      <c r="R10" s="136">
        <f>Q10+Пост!$D$7*ндс</f>
        <v>121.2</v>
      </c>
      <c r="S10" s="136">
        <f>R10+Пост!$D$7*ндс</f>
        <v>122.4</v>
      </c>
      <c r="T10" s="136">
        <f>S10+Пост!$D$7*ндс</f>
        <v>123.60000000000001</v>
      </c>
      <c r="U10" s="136">
        <f>T10+Пост!$D$7*ндс</f>
        <v>124.80000000000001</v>
      </c>
      <c r="V10" s="136">
        <f>U10+Пост!$D$7*ндс</f>
        <v>126.00000000000001</v>
      </c>
      <c r="W10" s="136">
        <f>V10+Пост!$D$7*ндс</f>
        <v>127.20000000000002</v>
      </c>
      <c r="X10" s="136">
        <f>W10+Пост!$D$7*ндс</f>
        <v>128.4</v>
      </c>
      <c r="Y10" s="136">
        <f>X10+Пост!$D$7*ндс</f>
        <v>129.6</v>
      </c>
      <c r="Z10" s="136">
        <f>Y10+Пост!$D$7*ндс</f>
        <v>130.79999999999998</v>
      </c>
      <c r="AA10" s="136">
        <f>Z10+Пост!$D$7*ндс</f>
        <v>131.99999999999997</v>
      </c>
      <c r="AB10" s="136">
        <f>AA10+Пост!$D$7*ндс</f>
        <v>133.19999999999996</v>
      </c>
      <c r="AC10" s="136">
        <f>AB10</f>
        <v>133.19999999999996</v>
      </c>
      <c r="AD10" s="136">
        <f>AC10+Пост!E7*12*ндс</f>
        <v>147.59999999999997</v>
      </c>
      <c r="AE10" s="136">
        <f>AD10+Пост!F7*12*ндс</f>
        <v>161.99999999999997</v>
      </c>
      <c r="AF10" s="136">
        <f>AE10+Пост!G7*12*ндс</f>
        <v>176.39999999999998</v>
      </c>
      <c r="AG10" s="136">
        <f>AF10+Пост!H7*12*ндс</f>
        <v>190.79999999999998</v>
      </c>
      <c r="AH10" s="136">
        <f>AG10+Пост!I7*12*ндс</f>
        <v>205.2</v>
      </c>
    </row>
    <row r="11" spans="1:34" ht="15" customHeight="1">
      <c r="A11" s="130" t="s">
        <v>179</v>
      </c>
      <c r="B11" s="131"/>
      <c r="C11" s="132">
        <f aca="true" t="shared" si="4" ref="C11:AH11">SUM(C12:C14)</f>
        <v>0</v>
      </c>
      <c r="D11" s="132">
        <f t="shared" si="4"/>
        <v>5442.2125</v>
      </c>
      <c r="E11" s="132">
        <f t="shared" si="4"/>
        <v>12434.425</v>
      </c>
      <c r="F11" s="132">
        <f t="shared" si="4"/>
        <v>13984.424999999997</v>
      </c>
      <c r="G11" s="132">
        <f t="shared" si="4"/>
        <v>13736.761853035712</v>
      </c>
      <c r="H11" s="132">
        <f t="shared" si="4"/>
        <v>13464.670134642854</v>
      </c>
      <c r="I11" s="132">
        <f t="shared" si="4"/>
        <v>13168.149844821426</v>
      </c>
      <c r="J11" s="132">
        <f t="shared" si="4"/>
        <v>12847.200983571427</v>
      </c>
      <c r="K11" s="132">
        <f t="shared" si="4"/>
        <v>12496.937836607141</v>
      </c>
      <c r="L11" s="132">
        <f t="shared" si="4"/>
        <v>12117.36040392857</v>
      </c>
      <c r="M11" s="132">
        <f t="shared" si="4"/>
        <v>11757.738281249998</v>
      </c>
      <c r="N11" s="132">
        <f t="shared" si="4"/>
        <v>11653.687499999998</v>
      </c>
      <c r="O11" s="132">
        <f t="shared" si="4"/>
        <v>11549.636718749998</v>
      </c>
      <c r="P11" s="132">
        <f t="shared" si="4"/>
        <v>11549.636718749998</v>
      </c>
      <c r="Q11" s="132">
        <f t="shared" si="4"/>
        <v>11445.585937499998</v>
      </c>
      <c r="R11" s="132">
        <f t="shared" si="4"/>
        <v>11341.535156249998</v>
      </c>
      <c r="S11" s="132">
        <f t="shared" si="4"/>
        <v>11237.484374999998</v>
      </c>
      <c r="T11" s="132">
        <f t="shared" si="4"/>
        <v>11133.433593749998</v>
      </c>
      <c r="U11" s="132">
        <f t="shared" si="4"/>
        <v>11029.382812499998</v>
      </c>
      <c r="V11" s="132">
        <f t="shared" si="4"/>
        <v>10925.332031249998</v>
      </c>
      <c r="W11" s="132">
        <f t="shared" si="4"/>
        <v>10821.281249999998</v>
      </c>
      <c r="X11" s="132">
        <f t="shared" si="4"/>
        <v>10717.230468749998</v>
      </c>
      <c r="Y11" s="132">
        <f t="shared" si="4"/>
        <v>10613.179687499998</v>
      </c>
      <c r="Z11" s="132">
        <f t="shared" si="4"/>
        <v>10509.128906249998</v>
      </c>
      <c r="AA11" s="132">
        <f t="shared" si="4"/>
        <v>10405.078124999998</v>
      </c>
      <c r="AB11" s="132">
        <f t="shared" si="4"/>
        <v>10301.027343749998</v>
      </c>
      <c r="AC11" s="132">
        <f t="shared" si="4"/>
        <v>10301.027343749998</v>
      </c>
      <c r="AD11" s="132">
        <f t="shared" si="4"/>
        <v>9052.417968749998</v>
      </c>
      <c r="AE11" s="132">
        <f t="shared" si="4"/>
        <v>7803.808593749998</v>
      </c>
      <c r="AF11" s="132">
        <f t="shared" si="4"/>
        <v>6555.199218749998</v>
      </c>
      <c r="AG11" s="132">
        <f t="shared" si="4"/>
        <v>5306.589843749998</v>
      </c>
      <c r="AH11" s="132">
        <f t="shared" si="4"/>
        <v>4057.980468749998</v>
      </c>
    </row>
    <row r="12" spans="1:34" ht="12.75">
      <c r="A12" s="135" t="s">
        <v>180</v>
      </c>
      <c r="B12" s="137"/>
      <c r="C12" s="136"/>
      <c r="D12" s="136">
        <f>C12+'1-Ф3'!D21/Исх!$C$18-'2-ф2'!D13</f>
        <v>4859.118303571428</v>
      </c>
      <c r="E12" s="136">
        <f>D12+'1-Ф3'!E21/Исх!$C$18-'2-ф2'!E13</f>
        <v>11102.165178571428</v>
      </c>
      <c r="F12" s="136">
        <f>E12+'1-Ф3'!F21/Исх!$C$18-'2-ф2'!F13</f>
        <v>12486.093749999998</v>
      </c>
      <c r="G12" s="136">
        <f>F12+'1-Ф3'!G21/Исх!$C$18-'2-ф2'!G13</f>
        <v>12382.042968749998</v>
      </c>
      <c r="H12" s="136">
        <f>G12+'1-Ф3'!H21/Исх!$C$18-'2-ф2'!H13</f>
        <v>12277.992187499998</v>
      </c>
      <c r="I12" s="136">
        <f>H12+'1-Ф3'!I21/Исх!$C$18-'2-ф2'!I13</f>
        <v>12173.941406249998</v>
      </c>
      <c r="J12" s="136">
        <f>I12+'1-Ф3'!J21/Исх!$C$18-'2-ф2'!J13</f>
        <v>12069.890624999998</v>
      </c>
      <c r="K12" s="136">
        <f>J12+'1-Ф3'!K21/Исх!$C$18-'2-ф2'!K13</f>
        <v>11965.839843749998</v>
      </c>
      <c r="L12" s="136">
        <f>K12+'1-Ф3'!L21/Исх!$C$18-'2-ф2'!L13</f>
        <v>11861.789062499998</v>
      </c>
      <c r="M12" s="136">
        <f>L12+'1-Ф3'!M21/Исх!$C$18-'2-ф2'!M13</f>
        <v>11757.738281249998</v>
      </c>
      <c r="N12" s="136">
        <f>M12+'1-Ф3'!N21/Исх!$C$18-'2-ф2'!N13</f>
        <v>11653.687499999998</v>
      </c>
      <c r="O12" s="136">
        <f>N12+'1-Ф3'!O21/Исх!$C$18-'2-ф2'!O13</f>
        <v>11549.636718749998</v>
      </c>
      <c r="P12" s="136">
        <f>O12</f>
        <v>11549.636718749998</v>
      </c>
      <c r="Q12" s="136">
        <f>P12+'1-Ф3'!Q21/Исх!$C$18-'2-ф2'!Q13</f>
        <v>11445.585937499998</v>
      </c>
      <c r="R12" s="136">
        <f>Q12+'1-Ф3'!R21/Исх!$C$18-'2-ф2'!R13</f>
        <v>11341.535156249998</v>
      </c>
      <c r="S12" s="136">
        <f>R12+'1-Ф3'!S21/Исх!$C$18-'2-ф2'!S13</f>
        <v>11237.484374999998</v>
      </c>
      <c r="T12" s="136">
        <f>S12+'1-Ф3'!T21/Исх!$C$18-'2-ф2'!T13</f>
        <v>11133.433593749998</v>
      </c>
      <c r="U12" s="136">
        <f>T12+'1-Ф3'!U21/Исх!$C$18-'2-ф2'!U13</f>
        <v>11029.382812499998</v>
      </c>
      <c r="V12" s="136">
        <f>U12+'1-Ф3'!V21/Исх!$C$18-'2-ф2'!V13</f>
        <v>10925.332031249998</v>
      </c>
      <c r="W12" s="136">
        <f>V12+'1-Ф3'!W21/Исх!$C$18-'2-ф2'!W13</f>
        <v>10821.281249999998</v>
      </c>
      <c r="X12" s="136">
        <f>W12+'1-Ф3'!X21/Исх!$C$18-'2-ф2'!X13</f>
        <v>10717.230468749998</v>
      </c>
      <c r="Y12" s="136">
        <f>X12+'1-Ф3'!Y21/Исх!$C$18-'2-ф2'!Y13</f>
        <v>10613.179687499998</v>
      </c>
      <c r="Z12" s="136">
        <f>Y12+'1-Ф3'!Z21/Исх!$C$18-'2-ф2'!Z13</f>
        <v>10509.128906249998</v>
      </c>
      <c r="AA12" s="136">
        <f>Z12+'1-Ф3'!AA21/Исх!$C$18-'2-ф2'!AA13</f>
        <v>10405.078124999998</v>
      </c>
      <c r="AB12" s="136">
        <f>AA12+'1-Ф3'!AB21/Исх!$C$18-'2-ф2'!AB13</f>
        <v>10301.027343749998</v>
      </c>
      <c r="AC12" s="136">
        <f>AB12</f>
        <v>10301.027343749998</v>
      </c>
      <c r="AD12" s="136">
        <f>AC12+'1-Ф3'!AD21/Исх!$C$18-'2-ф2'!AD13</f>
        <v>9052.417968749998</v>
      </c>
      <c r="AE12" s="136">
        <f>AD12+'1-Ф3'!AE21/Исх!$C$18-'2-ф2'!AE13</f>
        <v>7803.808593749998</v>
      </c>
      <c r="AF12" s="136">
        <f>AE12+'1-Ф3'!AF21/Исх!$C$18-'2-ф2'!AF13</f>
        <v>6555.199218749998</v>
      </c>
      <c r="AG12" s="136">
        <f>AF12+'1-Ф3'!AG21/Исх!$C$18-'2-ф2'!AG13</f>
        <v>5306.589843749998</v>
      </c>
      <c r="AH12" s="136">
        <f>AG12+'1-Ф3'!AH21/Исх!$C$18-'2-ф2'!AH13</f>
        <v>4057.980468749998</v>
      </c>
    </row>
    <row r="13" spans="1:34" ht="15" customHeight="1" hidden="1">
      <c r="A13" s="135" t="s">
        <v>181</v>
      </c>
      <c r="B13" s="137"/>
      <c r="C13" s="136"/>
      <c r="D13" s="136">
        <f>C13</f>
        <v>0</v>
      </c>
      <c r="E13" s="136">
        <f>D13</f>
        <v>0</v>
      </c>
      <c r="F13" s="136">
        <f aca="true" t="shared" si="5" ref="F13:AH14">E13</f>
        <v>0</v>
      </c>
      <c r="G13" s="136">
        <f t="shared" si="5"/>
        <v>0</v>
      </c>
      <c r="H13" s="136">
        <f t="shared" si="5"/>
        <v>0</v>
      </c>
      <c r="I13" s="136">
        <f t="shared" si="5"/>
        <v>0</v>
      </c>
      <c r="J13" s="136">
        <f t="shared" si="5"/>
        <v>0</v>
      </c>
      <c r="K13" s="136">
        <f t="shared" si="5"/>
        <v>0</v>
      </c>
      <c r="L13" s="136">
        <f t="shared" si="5"/>
        <v>0</v>
      </c>
      <c r="M13" s="136">
        <f t="shared" si="5"/>
        <v>0</v>
      </c>
      <c r="N13" s="136">
        <f t="shared" si="5"/>
        <v>0</v>
      </c>
      <c r="O13" s="136">
        <f t="shared" si="5"/>
        <v>0</v>
      </c>
      <c r="P13" s="136">
        <f t="shared" si="5"/>
        <v>0</v>
      </c>
      <c r="Q13" s="136">
        <f t="shared" si="5"/>
        <v>0</v>
      </c>
      <c r="R13" s="136">
        <f t="shared" si="5"/>
        <v>0</v>
      </c>
      <c r="S13" s="136">
        <f t="shared" si="5"/>
        <v>0</v>
      </c>
      <c r="T13" s="136">
        <f t="shared" si="5"/>
        <v>0</v>
      </c>
      <c r="U13" s="136">
        <f t="shared" si="5"/>
        <v>0</v>
      </c>
      <c r="V13" s="136">
        <f t="shared" si="5"/>
        <v>0</v>
      </c>
      <c r="W13" s="136">
        <f t="shared" si="5"/>
        <v>0</v>
      </c>
      <c r="X13" s="136">
        <f t="shared" si="5"/>
        <v>0</v>
      </c>
      <c r="Y13" s="136">
        <f t="shared" si="5"/>
        <v>0</v>
      </c>
      <c r="Z13" s="136">
        <f t="shared" si="5"/>
        <v>0</v>
      </c>
      <c r="AA13" s="136">
        <f t="shared" si="5"/>
        <v>0</v>
      </c>
      <c r="AB13" s="136">
        <f t="shared" si="5"/>
        <v>0</v>
      </c>
      <c r="AC13" s="136">
        <f t="shared" si="5"/>
        <v>0</v>
      </c>
      <c r="AD13" s="136">
        <f t="shared" si="5"/>
        <v>0</v>
      </c>
      <c r="AE13" s="136">
        <f t="shared" si="5"/>
        <v>0</v>
      </c>
      <c r="AF13" s="136">
        <f t="shared" si="5"/>
        <v>0</v>
      </c>
      <c r="AG13" s="136">
        <f t="shared" si="5"/>
        <v>0</v>
      </c>
      <c r="AH13" s="136">
        <f t="shared" si="5"/>
        <v>0</v>
      </c>
    </row>
    <row r="14" spans="1:34" ht="12.75">
      <c r="A14" s="135" t="s">
        <v>182</v>
      </c>
      <c r="B14" s="137"/>
      <c r="C14" s="136"/>
      <c r="D14" s="136">
        <f>IF('2-ф2'!D30&lt;0,-'2-ф2'!D30,0)</f>
        <v>583.0941964285714</v>
      </c>
      <c r="E14" s="136">
        <f>IF('2-ф2'!E30&lt;0,-'2-ф2'!E30,0)</f>
        <v>1332.2598214285713</v>
      </c>
      <c r="F14" s="136">
        <f>IF('2-ф2'!F30&lt;0,-'2-ф2'!F30,0)</f>
        <v>1498.3312499999997</v>
      </c>
      <c r="G14" s="136">
        <f>IF('2-ф2'!G30&lt;0,-'2-ф2'!G30,0)</f>
        <v>1354.718884285714</v>
      </c>
      <c r="H14" s="136">
        <f>IF('2-ф2'!H30&lt;0,-'2-ф2'!H30,0)</f>
        <v>1186.677947142857</v>
      </c>
      <c r="I14" s="136">
        <f>IF('2-ф2'!I30&lt;0,-'2-ф2'!I30,0)</f>
        <v>994.2084385714284</v>
      </c>
      <c r="J14" s="136">
        <f>IF('2-ф2'!J30&lt;0,-'2-ф2'!J30,0)</f>
        <v>777.3103585714284</v>
      </c>
      <c r="K14" s="136">
        <f>IF('2-ф2'!K30&lt;0,-'2-ф2'!K30,0)</f>
        <v>531.0979928571427</v>
      </c>
      <c r="L14" s="136">
        <f>IF('2-ф2'!L30&lt;0,-'2-ф2'!L30,0)</f>
        <v>255.57134142857137</v>
      </c>
      <c r="M14" s="136">
        <f>IF('2-ф2'!M30&lt;0,-'2-ф2'!M30,0)</f>
        <v>0</v>
      </c>
      <c r="N14" s="136">
        <f>IF('2-ф2'!N30&lt;0,-'2-ф2'!N30,0)</f>
        <v>0</v>
      </c>
      <c r="O14" s="136">
        <f>IF('2-ф2'!O30&lt;0,-'2-ф2'!O30,0)</f>
        <v>0</v>
      </c>
      <c r="P14" s="136">
        <f t="shared" si="5"/>
        <v>0</v>
      </c>
      <c r="Q14" s="136">
        <f>IF('2-ф2'!Q30&lt;0,-'2-ф2'!Q30,0)</f>
        <v>0</v>
      </c>
      <c r="R14" s="136">
        <f>IF('2-ф2'!R30&lt;0,-'2-ф2'!R30,0)</f>
        <v>0</v>
      </c>
      <c r="S14" s="136">
        <f>IF('2-ф2'!S30&lt;0,-'2-ф2'!S30,0)</f>
        <v>0</v>
      </c>
      <c r="T14" s="136">
        <f>IF('2-ф2'!T30&lt;0,-'2-ф2'!T30,0)</f>
        <v>0</v>
      </c>
      <c r="U14" s="136">
        <f>IF('2-ф2'!U30&lt;0,-'2-ф2'!U30,0)</f>
        <v>0</v>
      </c>
      <c r="V14" s="136">
        <f>IF('2-ф2'!V30&lt;0,-'2-ф2'!V30,0)</f>
        <v>0</v>
      </c>
      <c r="W14" s="136">
        <f>IF('2-ф2'!W30&lt;0,-'2-ф2'!W30,0)</f>
        <v>0</v>
      </c>
      <c r="X14" s="136">
        <f>IF('2-ф2'!X30&lt;0,-'2-ф2'!X30,0)</f>
        <v>0</v>
      </c>
      <c r="Y14" s="136">
        <f>IF('2-ф2'!Y30&lt;0,-'2-ф2'!Y30,0)</f>
        <v>0</v>
      </c>
      <c r="Z14" s="136">
        <f>IF('2-ф2'!Z30&lt;0,-'2-ф2'!Z30,0)</f>
        <v>0</v>
      </c>
      <c r="AA14" s="136">
        <f>IF('2-ф2'!AA30&lt;0,-'2-ф2'!AA30,0)</f>
        <v>0</v>
      </c>
      <c r="AB14" s="136">
        <f>IF('2-ф2'!AB30&lt;0,-'2-ф2'!AB30,0)</f>
        <v>0</v>
      </c>
      <c r="AC14" s="136">
        <f t="shared" si="5"/>
        <v>0</v>
      </c>
      <c r="AD14" s="136">
        <f>IF('2-ф2'!AD30&lt;0,-'2-ф2'!AD30,0)</f>
        <v>0</v>
      </c>
      <c r="AE14" s="136">
        <f>IF('2-ф2'!AE30&lt;0,-'2-ф2'!AE30,0)</f>
        <v>0</v>
      </c>
      <c r="AF14" s="136">
        <f>IF('2-ф2'!AF30&lt;0,-'2-ф2'!AF30,0)</f>
        <v>0</v>
      </c>
      <c r="AG14" s="136">
        <f>IF('2-ф2'!AG30&lt;0,-'2-ф2'!AG30,0)</f>
        <v>0</v>
      </c>
      <c r="AH14" s="136">
        <f>IF('2-ф2'!AH30&lt;0,-'2-ф2'!AH30,0)</f>
        <v>0</v>
      </c>
    </row>
    <row r="15" spans="1:183" ht="12.7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</row>
    <row r="16" spans="1:41" s="134" customFormat="1" ht="15" customHeight="1">
      <c r="A16" s="130" t="s">
        <v>183</v>
      </c>
      <c r="B16" s="131"/>
      <c r="C16" s="131">
        <f aca="true" t="shared" si="6" ref="C16:AH16">C21+C24+C17</f>
        <v>0</v>
      </c>
      <c r="D16" s="131">
        <f t="shared" si="6"/>
        <v>5442.212500000001</v>
      </c>
      <c r="E16" s="131">
        <f t="shared" si="6"/>
        <v>12434.425000000001</v>
      </c>
      <c r="F16" s="131">
        <f t="shared" si="6"/>
        <v>14992.425000000001</v>
      </c>
      <c r="G16" s="131">
        <f t="shared" si="6"/>
        <v>14745.961853035713</v>
      </c>
      <c r="H16" s="131">
        <f t="shared" si="6"/>
        <v>14475.070134642856</v>
      </c>
      <c r="I16" s="131">
        <f t="shared" si="6"/>
        <v>15048.727984821428</v>
      </c>
      <c r="J16" s="131">
        <f t="shared" si="6"/>
        <v>14178.149869058647</v>
      </c>
      <c r="K16" s="131">
        <f t="shared" si="6"/>
        <v>13553.530542831653</v>
      </c>
      <c r="L16" s="131">
        <f t="shared" si="6"/>
        <v>13174.870006140445</v>
      </c>
      <c r="M16" s="131">
        <f t="shared" si="6"/>
        <v>12920.025401842167</v>
      </c>
      <c r="N16" s="131">
        <f t="shared" si="6"/>
        <v>12870.42530136539</v>
      </c>
      <c r="O16" s="131">
        <f t="shared" si="6"/>
        <v>12822.498276138684</v>
      </c>
      <c r="P16" s="131">
        <f t="shared" si="6"/>
        <v>12822.498276138684</v>
      </c>
      <c r="Q16" s="131">
        <f t="shared" si="6"/>
        <v>12776.24432616205</v>
      </c>
      <c r="R16" s="131">
        <f t="shared" si="6"/>
        <v>12935.234880006916</v>
      </c>
      <c r="S16" s="131">
        <f t="shared" si="6"/>
        <v>13095.898509101851</v>
      </c>
      <c r="T16" s="131">
        <f t="shared" si="6"/>
        <v>13258.235213446862</v>
      </c>
      <c r="U16" s="131">
        <f t="shared" si="6"/>
        <v>13625.816421613372</v>
      </c>
      <c r="V16" s="131">
        <f t="shared" si="6"/>
        <v>13995.070705029953</v>
      </c>
      <c r="W16" s="131">
        <f t="shared" si="6"/>
        <v>14365.998063696607</v>
      </c>
      <c r="X16" s="131">
        <f t="shared" si="6"/>
        <v>14738.598497613331</v>
      </c>
      <c r="Y16" s="131">
        <f t="shared" si="6"/>
        <v>15112.87200678013</v>
      </c>
      <c r="Z16" s="131">
        <f t="shared" si="6"/>
        <v>15488.818591196998</v>
      </c>
      <c r="AA16" s="131">
        <f t="shared" si="6"/>
        <v>15813.61052897874</v>
      </c>
      <c r="AB16" s="131">
        <f t="shared" si="6"/>
        <v>16083.583211910913</v>
      </c>
      <c r="AC16" s="131">
        <f t="shared" si="6"/>
        <v>16083.583211910913</v>
      </c>
      <c r="AD16" s="131">
        <f t="shared" si="6"/>
        <v>19427.655302701474</v>
      </c>
      <c r="AE16" s="131">
        <f t="shared" si="6"/>
        <v>22964.46566230031</v>
      </c>
      <c r="AF16" s="131">
        <f t="shared" si="6"/>
        <v>26694.014290707415</v>
      </c>
      <c r="AG16" s="131">
        <f t="shared" si="6"/>
        <v>30616.301187922792</v>
      </c>
      <c r="AH16" s="131">
        <f t="shared" si="6"/>
        <v>34731.32635394644</v>
      </c>
      <c r="AI16" s="133"/>
      <c r="AJ16" s="133"/>
      <c r="AK16" s="133"/>
      <c r="AL16" s="133"/>
      <c r="AM16" s="133"/>
      <c r="AN16" s="133"/>
      <c r="AO16" s="133"/>
    </row>
    <row r="17" spans="1:34" ht="15" customHeight="1">
      <c r="A17" s="130" t="s">
        <v>184</v>
      </c>
      <c r="B17" s="131"/>
      <c r="C17" s="131">
        <f aca="true" t="shared" si="7" ref="C17:AH17">SUM(C18:C20)</f>
        <v>0</v>
      </c>
      <c r="D17" s="131">
        <f t="shared" si="7"/>
        <v>0</v>
      </c>
      <c r="E17" s="131">
        <f t="shared" si="7"/>
        <v>38.095487500000004</v>
      </c>
      <c r="F17" s="131">
        <f t="shared" si="7"/>
        <v>125.13646250000001</v>
      </c>
      <c r="G17" s="131">
        <f t="shared" si="7"/>
        <v>230.0834375</v>
      </c>
      <c r="H17" s="131">
        <f t="shared" si="7"/>
        <v>341.58956552</v>
      </c>
      <c r="I17" s="131">
        <f t="shared" si="7"/>
        <v>0</v>
      </c>
      <c r="J17" s="131">
        <f t="shared" si="7"/>
        <v>0</v>
      </c>
      <c r="K17" s="131">
        <f t="shared" si="7"/>
        <v>0</v>
      </c>
      <c r="L17" s="131">
        <f t="shared" si="7"/>
        <v>0</v>
      </c>
      <c r="M17" s="131">
        <f t="shared" si="7"/>
        <v>0</v>
      </c>
      <c r="N17" s="131">
        <f t="shared" si="7"/>
        <v>0</v>
      </c>
      <c r="O17" s="131">
        <f t="shared" si="7"/>
        <v>0</v>
      </c>
      <c r="P17" s="131">
        <f t="shared" si="7"/>
        <v>0</v>
      </c>
      <c r="Q17" s="131">
        <f t="shared" si="7"/>
        <v>0</v>
      </c>
      <c r="R17" s="131">
        <f t="shared" si="7"/>
        <v>0</v>
      </c>
      <c r="S17" s="131">
        <f t="shared" si="7"/>
        <v>0</v>
      </c>
      <c r="T17" s="131">
        <f t="shared" si="7"/>
        <v>0</v>
      </c>
      <c r="U17" s="131">
        <f t="shared" si="7"/>
        <v>0</v>
      </c>
      <c r="V17" s="131">
        <f t="shared" si="7"/>
        <v>0</v>
      </c>
      <c r="W17" s="131">
        <f t="shared" si="7"/>
        <v>0</v>
      </c>
      <c r="X17" s="131">
        <f t="shared" si="7"/>
        <v>0</v>
      </c>
      <c r="Y17" s="131">
        <f t="shared" si="7"/>
        <v>0</v>
      </c>
      <c r="Z17" s="131">
        <f t="shared" si="7"/>
        <v>0</v>
      </c>
      <c r="AA17" s="131">
        <f t="shared" si="7"/>
        <v>0</v>
      </c>
      <c r="AB17" s="131">
        <f t="shared" si="7"/>
        <v>0</v>
      </c>
      <c r="AC17" s="131">
        <f t="shared" si="7"/>
        <v>0</v>
      </c>
      <c r="AD17" s="131">
        <f t="shared" si="7"/>
        <v>0</v>
      </c>
      <c r="AE17" s="131">
        <f t="shared" si="7"/>
        <v>0</v>
      </c>
      <c r="AF17" s="131">
        <f t="shared" si="7"/>
        <v>0</v>
      </c>
      <c r="AG17" s="131">
        <f t="shared" si="7"/>
        <v>0</v>
      </c>
      <c r="AH17" s="131">
        <f t="shared" si="7"/>
        <v>0</v>
      </c>
    </row>
    <row r="18" spans="1:34" ht="12.75" hidden="1">
      <c r="A18" s="135" t="s">
        <v>185</v>
      </c>
      <c r="B18" s="137"/>
      <c r="C18" s="137"/>
      <c r="D18" s="137">
        <f>C18</f>
        <v>0</v>
      </c>
      <c r="E18" s="137">
        <f>D18</f>
        <v>0</v>
      </c>
      <c r="F18" s="137">
        <f aca="true" t="shared" si="8" ref="F18:O18">E18</f>
        <v>0</v>
      </c>
      <c r="G18" s="137">
        <f t="shared" si="8"/>
        <v>0</v>
      </c>
      <c r="H18" s="137">
        <f t="shared" si="8"/>
        <v>0</v>
      </c>
      <c r="I18" s="137">
        <f t="shared" si="8"/>
        <v>0</v>
      </c>
      <c r="J18" s="137">
        <f t="shared" si="8"/>
        <v>0</v>
      </c>
      <c r="K18" s="137">
        <f t="shared" si="8"/>
        <v>0</v>
      </c>
      <c r="L18" s="137">
        <f t="shared" si="8"/>
        <v>0</v>
      </c>
      <c r="M18" s="137">
        <f t="shared" si="8"/>
        <v>0</v>
      </c>
      <c r="N18" s="137">
        <f t="shared" si="8"/>
        <v>0</v>
      </c>
      <c r="O18" s="137">
        <f t="shared" si="8"/>
        <v>0</v>
      </c>
      <c r="P18" s="137">
        <f>O18</f>
        <v>0</v>
      </c>
      <c r="Q18" s="137">
        <f>P18</f>
        <v>0</v>
      </c>
      <c r="R18" s="137">
        <f>Q18</f>
        <v>0</v>
      </c>
      <c r="S18" s="137">
        <f>R18</f>
        <v>0</v>
      </c>
      <c r="T18" s="137">
        <f>S18</f>
        <v>0</v>
      </c>
      <c r="U18" s="137">
        <f aca="true" t="shared" si="9" ref="U18:AF18">T18</f>
        <v>0</v>
      </c>
      <c r="V18" s="137">
        <f t="shared" si="9"/>
        <v>0</v>
      </c>
      <c r="W18" s="137">
        <f t="shared" si="9"/>
        <v>0</v>
      </c>
      <c r="X18" s="137">
        <f t="shared" si="9"/>
        <v>0</v>
      </c>
      <c r="Y18" s="137">
        <f t="shared" si="9"/>
        <v>0</v>
      </c>
      <c r="Z18" s="137">
        <f t="shared" si="9"/>
        <v>0</v>
      </c>
      <c r="AA18" s="137">
        <f t="shared" si="9"/>
        <v>0</v>
      </c>
      <c r="AB18" s="137">
        <f t="shared" si="9"/>
        <v>0</v>
      </c>
      <c r="AC18" s="137">
        <f t="shared" si="9"/>
        <v>0</v>
      </c>
      <c r="AD18" s="137">
        <f t="shared" si="9"/>
        <v>0</v>
      </c>
      <c r="AE18" s="137">
        <f t="shared" si="9"/>
        <v>0</v>
      </c>
      <c r="AF18" s="137">
        <f t="shared" si="9"/>
        <v>0</v>
      </c>
      <c r="AG18" s="137">
        <f>AF18</f>
        <v>0</v>
      </c>
      <c r="AH18" s="137">
        <f>AG18</f>
        <v>0</v>
      </c>
    </row>
    <row r="19" spans="1:35" ht="25.5">
      <c r="A19" s="135" t="s">
        <v>186</v>
      </c>
      <c r="B19" s="137"/>
      <c r="C19" s="137"/>
      <c r="D19" s="137">
        <f>C19+'2-ф2'!D14-'1-Ф3'!D15-кр!C8</f>
        <v>0</v>
      </c>
      <c r="E19" s="137">
        <f>D19+'2-ф2'!E14-'1-Ф3'!E15-кр!D8</f>
        <v>38.095487500000004</v>
      </c>
      <c r="F19" s="137">
        <f>E19+'2-ф2'!F14-'1-Ф3'!F15-кр!E8</f>
        <v>125.13646250000001</v>
      </c>
      <c r="G19" s="137">
        <f>F19+'2-ф2'!G14-'1-Ф3'!G15-кр!F8</f>
        <v>230.0834375</v>
      </c>
      <c r="H19" s="137">
        <f>G19+'2-ф2'!H14-'1-Ф3'!H15-кр!G8</f>
        <v>341.58956552</v>
      </c>
      <c r="I19" s="137">
        <f>H19+'2-ф2'!I14-'1-Ф3'!I15-кр!H8</f>
        <v>0</v>
      </c>
      <c r="J19" s="137">
        <f>I19+'2-ф2'!J14-'1-Ф3'!J15-кр!I8</f>
        <v>0</v>
      </c>
      <c r="K19" s="137">
        <f>J19+'2-ф2'!K14-'1-Ф3'!K15-кр!J8</f>
        <v>0</v>
      </c>
      <c r="L19" s="137">
        <f>K19+'2-ф2'!L14-'1-Ф3'!L15-кр!K8</f>
        <v>0</v>
      </c>
      <c r="M19" s="137">
        <f>L19+'2-ф2'!M14-'1-Ф3'!M15-кр!L8</f>
        <v>0</v>
      </c>
      <c r="N19" s="137">
        <f>M19+'2-ф2'!N14-'1-Ф3'!N15-кр!M8</f>
        <v>0</v>
      </c>
      <c r="O19" s="137">
        <f>N19+'2-ф2'!O14-'1-Ф3'!O15-кр!N8</f>
        <v>0</v>
      </c>
      <c r="P19" s="137">
        <f>O19</f>
        <v>0</v>
      </c>
      <c r="Q19" s="137">
        <f>P19+'2-ф2'!Q14-'1-Ф3'!Q15</f>
        <v>0</v>
      </c>
      <c r="R19" s="137">
        <f>Q19+'2-ф2'!R14-'1-Ф3'!R15</f>
        <v>0</v>
      </c>
      <c r="S19" s="137">
        <f>R19+'2-ф2'!S14-'1-Ф3'!S15</f>
        <v>0</v>
      </c>
      <c r="T19" s="137">
        <f>S19+'2-ф2'!T14-'1-Ф3'!T15</f>
        <v>0</v>
      </c>
      <c r="U19" s="137">
        <f>T19+'2-ф2'!U14-'1-Ф3'!U15</f>
        <v>0</v>
      </c>
      <c r="V19" s="137">
        <f>U19+'2-ф2'!V14-'1-Ф3'!V15</f>
        <v>0</v>
      </c>
      <c r="W19" s="137">
        <f>V19+'2-ф2'!W14-'1-Ф3'!W15</f>
        <v>0</v>
      </c>
      <c r="X19" s="137">
        <f>W19+'2-ф2'!X14-'1-Ф3'!X15</f>
        <v>0</v>
      </c>
      <c r="Y19" s="137">
        <f>X19+'2-ф2'!Y14-'1-Ф3'!Y15</f>
        <v>0</v>
      </c>
      <c r="Z19" s="137">
        <f>Y19+'2-ф2'!Z14-'1-Ф3'!Z15</f>
        <v>0</v>
      </c>
      <c r="AA19" s="137">
        <f>Z19+'2-ф2'!AA14-'1-Ф3'!AA15</f>
        <v>0</v>
      </c>
      <c r="AB19" s="137">
        <f>AA19+'2-ф2'!AB14-'1-Ф3'!AB15</f>
        <v>0</v>
      </c>
      <c r="AC19" s="137">
        <f>AB19</f>
        <v>0</v>
      </c>
      <c r="AD19" s="137">
        <f>AC19+'2-ф2'!AD14-'1-Ф3'!AD15</f>
        <v>0</v>
      </c>
      <c r="AE19" s="137">
        <f>AD19+'2-ф2'!AE14-'1-Ф3'!AE15</f>
        <v>0</v>
      </c>
      <c r="AF19" s="137">
        <f>AE19+'2-ф2'!AF14-'1-Ф3'!AF15</f>
        <v>0</v>
      </c>
      <c r="AG19" s="137">
        <f>AF19+'2-ф2'!AG14-'1-Ф3'!AG15</f>
        <v>0</v>
      </c>
      <c r="AH19" s="137">
        <f>AG19+'2-ф2'!AH14-'1-Ф3'!AH15</f>
        <v>0</v>
      </c>
      <c r="AI19" s="124"/>
    </row>
    <row r="20" spans="1:34" ht="12.75">
      <c r="A20" s="135" t="s">
        <v>188</v>
      </c>
      <c r="B20" s="137"/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7">
        <f>AB20</f>
        <v>0</v>
      </c>
      <c r="AD20" s="137"/>
      <c r="AE20" s="137"/>
      <c r="AF20" s="137"/>
      <c r="AG20" s="137"/>
      <c r="AH20" s="137"/>
    </row>
    <row r="21" spans="1:34" ht="15" customHeight="1">
      <c r="A21" s="130" t="s">
        <v>189</v>
      </c>
      <c r="B21" s="131"/>
      <c r="C21" s="131">
        <f aca="true" t="shared" si="10" ref="C21:AH21">SUM(C22:C23)</f>
        <v>0</v>
      </c>
      <c r="D21" s="131">
        <f t="shared" si="10"/>
        <v>3809.5487500000004</v>
      </c>
      <c r="E21" s="131">
        <f t="shared" si="10"/>
        <v>8704.0975</v>
      </c>
      <c r="F21" s="131">
        <f t="shared" si="10"/>
        <v>10494.6975</v>
      </c>
      <c r="G21" s="131">
        <f t="shared" si="10"/>
        <v>11150.612802</v>
      </c>
      <c r="H21" s="131">
        <f t="shared" si="10"/>
        <v>11646.928103999999</v>
      </c>
      <c r="I21" s="131">
        <f t="shared" si="10"/>
        <v>13049.986950559998</v>
      </c>
      <c r="J21" s="131">
        <f t="shared" si="10"/>
        <v>12882.679425552818</v>
      </c>
      <c r="K21" s="131">
        <f t="shared" si="10"/>
        <v>12715.371900545639</v>
      </c>
      <c r="L21" s="131">
        <f t="shared" si="10"/>
        <v>12548.064375538459</v>
      </c>
      <c r="M21" s="131">
        <f t="shared" si="10"/>
        <v>12380.75685053128</v>
      </c>
      <c r="N21" s="131">
        <f t="shared" si="10"/>
        <v>12213.4493255241</v>
      </c>
      <c r="O21" s="131">
        <f t="shared" si="10"/>
        <v>12046.14180051692</v>
      </c>
      <c r="P21" s="131">
        <f t="shared" si="10"/>
        <v>12046.14180051692</v>
      </c>
      <c r="Q21" s="131">
        <f t="shared" si="10"/>
        <v>11878.83427550974</v>
      </c>
      <c r="R21" s="131">
        <f t="shared" si="10"/>
        <v>11711.52675050256</v>
      </c>
      <c r="S21" s="131">
        <f t="shared" si="10"/>
        <v>11544.21922549538</v>
      </c>
      <c r="T21" s="131">
        <f t="shared" si="10"/>
        <v>11376.911700488201</v>
      </c>
      <c r="U21" s="131">
        <f t="shared" si="10"/>
        <v>11209.604175481021</v>
      </c>
      <c r="V21" s="131">
        <f t="shared" si="10"/>
        <v>11042.296650473842</v>
      </c>
      <c r="W21" s="131">
        <f t="shared" si="10"/>
        <v>10874.989125466662</v>
      </c>
      <c r="X21" s="131">
        <f t="shared" si="10"/>
        <v>10707.681600459482</v>
      </c>
      <c r="Y21" s="131">
        <f t="shared" si="10"/>
        <v>10540.374075452302</v>
      </c>
      <c r="Z21" s="131">
        <f t="shared" si="10"/>
        <v>10373.066550445123</v>
      </c>
      <c r="AA21" s="131">
        <f t="shared" si="10"/>
        <v>10205.759025437943</v>
      </c>
      <c r="AB21" s="131">
        <f t="shared" si="10"/>
        <v>10038.451500430763</v>
      </c>
      <c r="AC21" s="131">
        <f t="shared" si="10"/>
        <v>10038.451500430763</v>
      </c>
      <c r="AD21" s="131">
        <f t="shared" si="10"/>
        <v>8030.761200344607</v>
      </c>
      <c r="AE21" s="131">
        <f t="shared" si="10"/>
        <v>6023.07090025845</v>
      </c>
      <c r="AF21" s="131">
        <f t="shared" si="10"/>
        <v>4015.3806001722937</v>
      </c>
      <c r="AG21" s="131">
        <f t="shared" si="10"/>
        <v>2007.6903000861423</v>
      </c>
      <c r="AH21" s="131">
        <f t="shared" si="10"/>
        <v>-1.1539214028744027E-11</v>
      </c>
    </row>
    <row r="22" spans="1:34" ht="12.75">
      <c r="A22" s="135" t="s">
        <v>187</v>
      </c>
      <c r="B22" s="137"/>
      <c r="C22" s="131"/>
      <c r="D22" s="137">
        <f>кр!C12</f>
        <v>3809.5487500000004</v>
      </c>
      <c r="E22" s="137">
        <f>кр!D12</f>
        <v>8704.0975</v>
      </c>
      <c r="F22" s="137">
        <f>кр!E12</f>
        <v>10494.6975</v>
      </c>
      <c r="G22" s="137">
        <f>кр!F12</f>
        <v>11150.612802</v>
      </c>
      <c r="H22" s="137">
        <f>кр!G12</f>
        <v>11646.928103999999</v>
      </c>
      <c r="I22" s="137">
        <f>кр!H12</f>
        <v>13049.986950559998</v>
      </c>
      <c r="J22" s="137">
        <f>кр!I12</f>
        <v>12882.679425552818</v>
      </c>
      <c r="K22" s="137">
        <f>кр!J12</f>
        <v>12715.371900545639</v>
      </c>
      <c r="L22" s="137">
        <f>кр!K12</f>
        <v>12548.064375538459</v>
      </c>
      <c r="M22" s="137">
        <f>кр!L12</f>
        <v>12380.75685053128</v>
      </c>
      <c r="N22" s="137">
        <f>кр!M12</f>
        <v>12213.4493255241</v>
      </c>
      <c r="O22" s="137">
        <f>кр!N12</f>
        <v>12046.14180051692</v>
      </c>
      <c r="P22" s="137">
        <f>кр!O12</f>
        <v>12046.14180051692</v>
      </c>
      <c r="Q22" s="137">
        <f>кр!P12</f>
        <v>11878.83427550974</v>
      </c>
      <c r="R22" s="137">
        <f>кр!Q12</f>
        <v>11711.52675050256</v>
      </c>
      <c r="S22" s="137">
        <f>кр!R12</f>
        <v>11544.21922549538</v>
      </c>
      <c r="T22" s="137">
        <f>кр!S12</f>
        <v>11376.911700488201</v>
      </c>
      <c r="U22" s="137">
        <f>кр!T12</f>
        <v>11209.604175481021</v>
      </c>
      <c r="V22" s="137">
        <f>кр!U12</f>
        <v>11042.296650473842</v>
      </c>
      <c r="W22" s="137">
        <f>кр!V12</f>
        <v>10874.989125466662</v>
      </c>
      <c r="X22" s="137">
        <f>кр!W12</f>
        <v>10707.681600459482</v>
      </c>
      <c r="Y22" s="137">
        <f>кр!X12</f>
        <v>10540.374075452302</v>
      </c>
      <c r="Z22" s="137">
        <f>кр!Y12</f>
        <v>10373.066550445123</v>
      </c>
      <c r="AA22" s="137">
        <f>кр!Z12</f>
        <v>10205.759025437943</v>
      </c>
      <c r="AB22" s="137">
        <f>кр!AA12</f>
        <v>10038.451500430763</v>
      </c>
      <c r="AC22" s="137">
        <f>кр!AB12</f>
        <v>10038.451500430763</v>
      </c>
      <c r="AD22" s="137">
        <f>кр!AO12</f>
        <v>8030.761200344607</v>
      </c>
      <c r="AE22" s="137">
        <f>кр!BB12</f>
        <v>6023.07090025845</v>
      </c>
      <c r="AF22" s="137">
        <f>кр!BO12</f>
        <v>4015.3806001722937</v>
      </c>
      <c r="AG22" s="137">
        <f>кр!CB12</f>
        <v>2007.6903000861423</v>
      </c>
      <c r="AH22" s="137">
        <f>кр!CO12</f>
        <v>-1.1539214028744027E-11</v>
      </c>
    </row>
    <row r="23" spans="1:34" ht="15" customHeight="1" hidden="1">
      <c r="A23" s="135" t="s">
        <v>190</v>
      </c>
      <c r="B23" s="137"/>
      <c r="C23" s="137"/>
      <c r="D23" s="137">
        <f>C23</f>
        <v>0</v>
      </c>
      <c r="E23" s="137">
        <f>D23</f>
        <v>0</v>
      </c>
      <c r="F23" s="137">
        <f aca="true" t="shared" si="11" ref="F23:AH23">E23</f>
        <v>0</v>
      </c>
      <c r="G23" s="137">
        <f t="shared" si="11"/>
        <v>0</v>
      </c>
      <c r="H23" s="137">
        <f t="shared" si="11"/>
        <v>0</v>
      </c>
      <c r="I23" s="137">
        <f t="shared" si="11"/>
        <v>0</v>
      </c>
      <c r="J23" s="137">
        <f t="shared" si="11"/>
        <v>0</v>
      </c>
      <c r="K23" s="137">
        <f t="shared" si="11"/>
        <v>0</v>
      </c>
      <c r="L23" s="137">
        <f t="shared" si="11"/>
        <v>0</v>
      </c>
      <c r="M23" s="137">
        <f t="shared" si="11"/>
        <v>0</v>
      </c>
      <c r="N23" s="137">
        <f t="shared" si="11"/>
        <v>0</v>
      </c>
      <c r="O23" s="137">
        <f t="shared" si="11"/>
        <v>0</v>
      </c>
      <c r="P23" s="137">
        <f t="shared" si="11"/>
        <v>0</v>
      </c>
      <c r="Q23" s="137">
        <f t="shared" si="11"/>
        <v>0</v>
      </c>
      <c r="R23" s="137">
        <f t="shared" si="11"/>
        <v>0</v>
      </c>
      <c r="S23" s="137">
        <f t="shared" si="11"/>
        <v>0</v>
      </c>
      <c r="T23" s="137">
        <f t="shared" si="11"/>
        <v>0</v>
      </c>
      <c r="U23" s="137">
        <f t="shared" si="11"/>
        <v>0</v>
      </c>
      <c r="V23" s="137">
        <f t="shared" si="11"/>
        <v>0</v>
      </c>
      <c r="W23" s="137">
        <f t="shared" si="11"/>
        <v>0</v>
      </c>
      <c r="X23" s="137">
        <f t="shared" si="11"/>
        <v>0</v>
      </c>
      <c r="Y23" s="137">
        <f t="shared" si="11"/>
        <v>0</v>
      </c>
      <c r="Z23" s="137">
        <f t="shared" si="11"/>
        <v>0</v>
      </c>
      <c r="AA23" s="137">
        <f t="shared" si="11"/>
        <v>0</v>
      </c>
      <c r="AB23" s="137">
        <f t="shared" si="11"/>
        <v>0</v>
      </c>
      <c r="AC23" s="131">
        <f>AB23</f>
        <v>0</v>
      </c>
      <c r="AD23" s="137">
        <f t="shared" si="11"/>
        <v>0</v>
      </c>
      <c r="AE23" s="137">
        <f t="shared" si="11"/>
        <v>0</v>
      </c>
      <c r="AF23" s="137">
        <f t="shared" si="11"/>
        <v>0</v>
      </c>
      <c r="AG23" s="137">
        <f t="shared" si="11"/>
        <v>0</v>
      </c>
      <c r="AH23" s="137">
        <f t="shared" si="11"/>
        <v>0</v>
      </c>
    </row>
    <row r="24" spans="1:34" s="134" customFormat="1" ht="15" customHeight="1">
      <c r="A24" s="130" t="s">
        <v>191</v>
      </c>
      <c r="B24" s="131"/>
      <c r="C24" s="131">
        <f aca="true" t="shared" si="12" ref="C24:AH24">SUM(C25:C26)</f>
        <v>0</v>
      </c>
      <c r="D24" s="131">
        <f t="shared" si="12"/>
        <v>1632.6637500000002</v>
      </c>
      <c r="E24" s="131">
        <f t="shared" si="12"/>
        <v>3692.2320125</v>
      </c>
      <c r="F24" s="131">
        <f t="shared" si="12"/>
        <v>4372.5910375</v>
      </c>
      <c r="G24" s="131">
        <f t="shared" si="12"/>
        <v>3365.265613535714</v>
      </c>
      <c r="H24" s="131">
        <f t="shared" si="12"/>
        <v>2486.552465122857</v>
      </c>
      <c r="I24" s="131">
        <f t="shared" si="12"/>
        <v>1998.7410342614285</v>
      </c>
      <c r="J24" s="131">
        <f t="shared" si="12"/>
        <v>1295.4704435058284</v>
      </c>
      <c r="K24" s="131">
        <f t="shared" si="12"/>
        <v>838.1586422860146</v>
      </c>
      <c r="L24" s="131">
        <f t="shared" si="12"/>
        <v>626.8056306019871</v>
      </c>
      <c r="M24" s="131">
        <f t="shared" si="12"/>
        <v>539.2685513108881</v>
      </c>
      <c r="N24" s="131">
        <f t="shared" si="12"/>
        <v>656.9759758412902</v>
      </c>
      <c r="O24" s="131">
        <f t="shared" si="12"/>
        <v>776.3564756217638</v>
      </c>
      <c r="P24" s="131">
        <f t="shared" si="12"/>
        <v>776.3564756217638</v>
      </c>
      <c r="Q24" s="131">
        <f t="shared" si="12"/>
        <v>897.4100506523091</v>
      </c>
      <c r="R24" s="131">
        <f t="shared" si="12"/>
        <v>1223.7081295043545</v>
      </c>
      <c r="S24" s="131">
        <f t="shared" si="12"/>
        <v>1551.6792836064715</v>
      </c>
      <c r="T24" s="131">
        <f t="shared" si="12"/>
        <v>1881.3235129586606</v>
      </c>
      <c r="U24" s="131">
        <f t="shared" si="12"/>
        <v>2416.21224613235</v>
      </c>
      <c r="V24" s="131">
        <f t="shared" si="12"/>
        <v>2952.7740545561114</v>
      </c>
      <c r="W24" s="131">
        <f t="shared" si="12"/>
        <v>3491.0089382299448</v>
      </c>
      <c r="X24" s="131">
        <f t="shared" si="12"/>
        <v>4030.9168971538497</v>
      </c>
      <c r="Y24" s="131">
        <f t="shared" si="12"/>
        <v>4572.497931327826</v>
      </c>
      <c r="Z24" s="131">
        <f t="shared" si="12"/>
        <v>5115.752040751875</v>
      </c>
      <c r="AA24" s="131">
        <f t="shared" si="12"/>
        <v>5607.851503540796</v>
      </c>
      <c r="AB24" s="131">
        <f t="shared" si="12"/>
        <v>6045.1317114801495</v>
      </c>
      <c r="AC24" s="131">
        <f t="shared" si="12"/>
        <v>6045.1317114801495</v>
      </c>
      <c r="AD24" s="131">
        <f t="shared" si="12"/>
        <v>11396.89410235687</v>
      </c>
      <c r="AE24" s="131">
        <f t="shared" si="12"/>
        <v>16941.39476204186</v>
      </c>
      <c r="AF24" s="131">
        <f t="shared" si="12"/>
        <v>22678.63369053512</v>
      </c>
      <c r="AG24" s="131">
        <f t="shared" si="12"/>
        <v>28608.61088783665</v>
      </c>
      <c r="AH24" s="131">
        <f t="shared" si="12"/>
        <v>34731.32635394645</v>
      </c>
    </row>
    <row r="25" spans="1:34" ht="15" customHeight="1">
      <c r="A25" s="135" t="s">
        <v>192</v>
      </c>
      <c r="B25" s="131"/>
      <c r="C25" s="137"/>
      <c r="D25" s="137">
        <f>C25+'1-Ф3'!D28</f>
        <v>1632.6637500000002</v>
      </c>
      <c r="E25" s="137">
        <f>D25+'1-Ф3'!E28</f>
        <v>3730.3275000000003</v>
      </c>
      <c r="F25" s="137">
        <f>E25+'1-Ф3'!F28</f>
        <v>4497.7275</v>
      </c>
      <c r="G25" s="137">
        <f>F25+'1-Ф3'!G28</f>
        <v>4778.8340579999995</v>
      </c>
      <c r="H25" s="137">
        <f>G25+'1-Ф3'!H28</f>
        <v>4991.540615999999</v>
      </c>
      <c r="I25" s="137">
        <f>H25+'1-Ф3'!I28</f>
        <v>5396.540615999999</v>
      </c>
      <c r="J25" s="137">
        <f>I25+'1-Ф3'!J28</f>
        <v>5396.540615999999</v>
      </c>
      <c r="K25" s="137">
        <f>J25+'1-Ф3'!K28</f>
        <v>5396.540615999999</v>
      </c>
      <c r="L25" s="137">
        <f>K25+'1-Ф3'!L28</f>
        <v>5396.540615999999</v>
      </c>
      <c r="M25" s="137">
        <f>L25+'1-Ф3'!M28</f>
        <v>5396.540615999999</v>
      </c>
      <c r="N25" s="137">
        <f>M25+'1-Ф3'!N28</f>
        <v>5396.540615999999</v>
      </c>
      <c r="O25" s="137">
        <f>N25+'1-Ф3'!O28</f>
        <v>5396.540615999999</v>
      </c>
      <c r="P25" s="137">
        <f>O25</f>
        <v>5396.540615999999</v>
      </c>
      <c r="Q25" s="137">
        <f>P25+'1-Ф3'!Q28</f>
        <v>5396.540615999999</v>
      </c>
      <c r="R25" s="137">
        <f>Q25+'1-Ф3'!R28</f>
        <v>5396.540615999999</v>
      </c>
      <c r="S25" s="137">
        <f>R25+'1-Ф3'!S28</f>
        <v>5396.540615999999</v>
      </c>
      <c r="T25" s="137">
        <f>S25+'1-Ф3'!T28</f>
        <v>5396.540615999999</v>
      </c>
      <c r="U25" s="137">
        <f>T25+'1-Ф3'!U28</f>
        <v>5396.540615999999</v>
      </c>
      <c r="V25" s="137">
        <f>U25+'1-Ф3'!V28</f>
        <v>5396.540615999999</v>
      </c>
      <c r="W25" s="137">
        <f>V25+'1-Ф3'!W28</f>
        <v>5396.540615999999</v>
      </c>
      <c r="X25" s="137">
        <f>W25+'1-Ф3'!X28</f>
        <v>5396.540615999999</v>
      </c>
      <c r="Y25" s="137">
        <f>X25+'1-Ф3'!Y28</f>
        <v>5396.540615999999</v>
      </c>
      <c r="Z25" s="137">
        <f>Y25+'1-Ф3'!Z28</f>
        <v>5396.540615999999</v>
      </c>
      <c r="AA25" s="137">
        <f>Z25+'1-Ф3'!AA28</f>
        <v>5396.540615999999</v>
      </c>
      <c r="AB25" s="137">
        <f>AA25+'1-Ф3'!AB28</f>
        <v>5396.540615999999</v>
      </c>
      <c r="AC25" s="137">
        <f>AB25</f>
        <v>5396.540615999999</v>
      </c>
      <c r="AD25" s="137">
        <f>AC25+'1-Ф3'!AD28</f>
        <v>5396.540615999999</v>
      </c>
      <c r="AE25" s="137">
        <f>AD25+'1-Ф3'!AE28</f>
        <v>5396.540615999999</v>
      </c>
      <c r="AF25" s="137">
        <f>AE25+'1-Ф3'!AF28</f>
        <v>5396.540615999999</v>
      </c>
      <c r="AG25" s="137">
        <f>AF25+'1-Ф3'!AG28</f>
        <v>5396.540615999999</v>
      </c>
      <c r="AH25" s="137">
        <f>AG25+'1-Ф3'!AH28</f>
        <v>5396.540615999999</v>
      </c>
    </row>
    <row r="26" spans="1:34" ht="15" customHeight="1">
      <c r="A26" s="135" t="s">
        <v>193</v>
      </c>
      <c r="B26" s="131"/>
      <c r="C26" s="137"/>
      <c r="D26" s="137">
        <f>'2-ф2'!D18</f>
        <v>0</v>
      </c>
      <c r="E26" s="137">
        <f>'2-ф2'!E18</f>
        <v>-38.095487500000004</v>
      </c>
      <c r="F26" s="137">
        <f>'2-ф2'!F18</f>
        <v>-125.13646250000001</v>
      </c>
      <c r="G26" s="137">
        <f>'2-ф2'!G18</f>
        <v>-1413.5684444642854</v>
      </c>
      <c r="H26" s="137">
        <f>'2-ф2'!H18</f>
        <v>-2504.9881508771423</v>
      </c>
      <c r="I26" s="137">
        <f>'2-ф2'!I18</f>
        <v>-3397.799581738571</v>
      </c>
      <c r="J26" s="137">
        <f>'2-ф2'!J18</f>
        <v>-4101.070172494171</v>
      </c>
      <c r="K26" s="137">
        <f>'2-ф2'!K18</f>
        <v>-4558.381973713985</v>
      </c>
      <c r="L26" s="137">
        <f>'2-ф2'!L18</f>
        <v>-4769.734985398012</v>
      </c>
      <c r="M26" s="137">
        <f>'2-ф2'!M18</f>
        <v>-4857.272064689111</v>
      </c>
      <c r="N26" s="137">
        <f>'2-ф2'!N18</f>
        <v>-4739.564640158709</v>
      </c>
      <c r="O26" s="137">
        <f>'2-ф2'!O18</f>
        <v>-4620.1841403782355</v>
      </c>
      <c r="P26" s="137">
        <f>'2-ф2'!P18</f>
        <v>-4620.1841403782355</v>
      </c>
      <c r="Q26" s="137">
        <f>'2-ф2'!Q18</f>
        <v>-4499.13056534769</v>
      </c>
      <c r="R26" s="137">
        <f>'2-ф2'!R18</f>
        <v>-4172.832486495645</v>
      </c>
      <c r="S26" s="137">
        <f>'2-ф2'!S18</f>
        <v>-3844.861332393528</v>
      </c>
      <c r="T26" s="137">
        <f>'2-ф2'!T18</f>
        <v>-3515.2171030413388</v>
      </c>
      <c r="U26" s="137">
        <f>'2-ф2'!U18</f>
        <v>-2980.328369867649</v>
      </c>
      <c r="V26" s="137">
        <f>'2-ф2'!V18</f>
        <v>-2443.766561443888</v>
      </c>
      <c r="W26" s="137">
        <f>'2-ф2'!W18</f>
        <v>-1905.5316777700546</v>
      </c>
      <c r="X26" s="137">
        <f>'2-ф2'!X18</f>
        <v>-1365.6237188461496</v>
      </c>
      <c r="Y26" s="137">
        <f>'2-ф2'!Y18</f>
        <v>-824.0426846721728</v>
      </c>
      <c r="Z26" s="137">
        <f>'2-ф2'!Z18</f>
        <v>-280.7885752481242</v>
      </c>
      <c r="AA26" s="137">
        <f>'2-ф2'!AA18</f>
        <v>211.3108875407969</v>
      </c>
      <c r="AB26" s="137">
        <f>'2-ф2'!AB18</f>
        <v>648.5910954801507</v>
      </c>
      <c r="AC26" s="137">
        <f>'2-ф2'!AC18</f>
        <v>648.5910954801507</v>
      </c>
      <c r="AD26" s="137">
        <f>'2-ф2'!AD18</f>
        <v>6000.353486356869</v>
      </c>
      <c r="AE26" s="137">
        <f>'2-ф2'!AE18</f>
        <v>11544.85414604186</v>
      </c>
      <c r="AF26" s="137">
        <f>'2-ф2'!AF18</f>
        <v>17282.09307453512</v>
      </c>
      <c r="AG26" s="137">
        <f>'2-ф2'!AG18</f>
        <v>23212.070271836652</v>
      </c>
      <c r="AH26" s="137">
        <f>'2-ф2'!AH18</f>
        <v>29334.785737946455</v>
      </c>
    </row>
    <row r="28" spans="1:34" ht="12.75">
      <c r="A28" s="140" t="s">
        <v>194</v>
      </c>
      <c r="B28" s="141"/>
      <c r="C28" s="142">
        <f aca="true" t="shared" si="13" ref="C28:AH28">C5-C16</f>
        <v>0</v>
      </c>
      <c r="D28" s="143">
        <f t="shared" si="13"/>
        <v>0</v>
      </c>
      <c r="E28" s="143">
        <f t="shared" si="13"/>
        <v>0</v>
      </c>
      <c r="F28" s="143">
        <f t="shared" si="13"/>
        <v>0</v>
      </c>
      <c r="G28" s="143">
        <f t="shared" si="13"/>
        <v>0</v>
      </c>
      <c r="H28" s="143">
        <f t="shared" si="13"/>
        <v>0</v>
      </c>
      <c r="I28" s="143">
        <f t="shared" si="13"/>
        <v>0</v>
      </c>
      <c r="J28" s="143">
        <f t="shared" si="13"/>
        <v>0</v>
      </c>
      <c r="K28" s="143">
        <f t="shared" si="13"/>
        <v>0</v>
      </c>
      <c r="L28" s="143">
        <f t="shared" si="13"/>
        <v>0</v>
      </c>
      <c r="M28" s="143">
        <f t="shared" si="13"/>
        <v>0</v>
      </c>
      <c r="N28" s="143">
        <f t="shared" si="13"/>
        <v>0</v>
      </c>
      <c r="O28" s="143">
        <f t="shared" si="13"/>
        <v>0</v>
      </c>
      <c r="P28" s="143">
        <f t="shared" si="13"/>
        <v>0</v>
      </c>
      <c r="Q28" s="143">
        <f t="shared" si="13"/>
        <v>0</v>
      </c>
      <c r="R28" s="143">
        <f t="shared" si="13"/>
        <v>0</v>
      </c>
      <c r="S28" s="143">
        <f t="shared" si="13"/>
        <v>0</v>
      </c>
      <c r="T28" s="143">
        <f t="shared" si="13"/>
        <v>0</v>
      </c>
      <c r="U28" s="143">
        <f t="shared" si="13"/>
        <v>0</v>
      </c>
      <c r="V28" s="143">
        <f t="shared" si="13"/>
        <v>0</v>
      </c>
      <c r="W28" s="143">
        <f t="shared" si="13"/>
        <v>0</v>
      </c>
      <c r="X28" s="143">
        <f t="shared" si="13"/>
        <v>0</v>
      </c>
      <c r="Y28" s="143">
        <f t="shared" si="13"/>
        <v>0</v>
      </c>
      <c r="Z28" s="143">
        <f t="shared" si="13"/>
        <v>0</v>
      </c>
      <c r="AA28" s="143">
        <f t="shared" si="13"/>
        <v>0</v>
      </c>
      <c r="AB28" s="143">
        <f t="shared" si="13"/>
        <v>0</v>
      </c>
      <c r="AC28" s="143">
        <f t="shared" si="13"/>
        <v>0</v>
      </c>
      <c r="AD28" s="143">
        <f t="shared" si="13"/>
        <v>3.2741809263825417E-11</v>
      </c>
      <c r="AE28" s="143">
        <f t="shared" si="13"/>
        <v>4.3655745685100555E-11</v>
      </c>
      <c r="AF28" s="143">
        <f t="shared" si="13"/>
        <v>6.184563972055912E-11</v>
      </c>
      <c r="AG28" s="143">
        <f t="shared" si="13"/>
        <v>7.275957614183426E-11</v>
      </c>
      <c r="AH28" s="143">
        <f t="shared" si="13"/>
        <v>9.458744898438454E-11</v>
      </c>
    </row>
    <row r="30" spans="1:34" ht="12.75" hidden="1">
      <c r="A30" s="123" t="s">
        <v>193</v>
      </c>
      <c r="P30" s="124">
        <f>P26</f>
        <v>-4620.1841403782355</v>
      </c>
      <c r="Q30" s="124">
        <f>'[45]ф2'!Q32</f>
        <v>109.48954266069855</v>
      </c>
      <c r="R30" s="124">
        <f>'[45]ф2'!R32</f>
        <v>109.48954266069855</v>
      </c>
      <c r="S30" s="124">
        <f>'[45]ф2'!S32</f>
        <v>108.45296951069854</v>
      </c>
      <c r="T30" s="124">
        <f>'[45]ф2'!T32</f>
        <v>106.37982321069852</v>
      </c>
      <c r="U30" s="124">
        <f>'[45]ф2'!U32</f>
        <v>103.27010376069849</v>
      </c>
      <c r="V30" s="124">
        <f>'[45]ф2'!V32</f>
        <v>103.27010376069849</v>
      </c>
      <c r="W30" s="124">
        <f>'[45]ф2'!W32</f>
        <v>103.27010376069849</v>
      </c>
      <c r="X30" s="124">
        <f>'[45]ф2'!X32</f>
        <v>99.20125340855881</v>
      </c>
      <c r="Y30" s="124">
        <f>'[45]ф2'!Y32</f>
        <v>99.20125340855881</v>
      </c>
      <c r="Z30" s="124">
        <f>'[45]ф2'!Z32</f>
        <v>99.20125340855881</v>
      </c>
      <c r="AA30" s="124">
        <f>'[45]ф2'!AA32</f>
        <v>99.20125340855881</v>
      </c>
      <c r="AB30" s="124">
        <f>'[45]ф2'!AB32</f>
        <v>82.61608300855879</v>
      </c>
      <c r="AC30" s="124">
        <f>AC26-P26</f>
        <v>5268.775235858386</v>
      </c>
      <c r="AD30" s="124">
        <f>AD26-AC26</f>
        <v>5351.762390876718</v>
      </c>
      <c r="AE30" s="124">
        <f>AE26-AD26</f>
        <v>5544.500659684991</v>
      </c>
      <c r="AF30" s="124">
        <f>AF26-AE26</f>
        <v>5737.2389284932615</v>
      </c>
      <c r="AG30" s="124">
        <f>AG26-AF26</f>
        <v>5929.97719730153</v>
      </c>
      <c r="AH30" s="124">
        <f>AH26-AG26</f>
        <v>6122.715466109803</v>
      </c>
    </row>
    <row r="31" spans="1:34" ht="12.75" hidden="1">
      <c r="A31" s="123" t="s">
        <v>195</v>
      </c>
      <c r="P31" s="124">
        <f>(P8+P10+P13+P14)-(C8+C10+C13+C14)</f>
        <v>118.8</v>
      </c>
      <c r="AC31" s="124">
        <f>(AC8+AC10+AC13+AC14)-(P8+P10+P13+P14)</f>
        <v>14.399999999999963</v>
      </c>
      <c r="AD31" s="124">
        <f>(AD8+AD10+AD13+AD14)-(AC8+AC10+AC13+AC14)</f>
        <v>14.400000000000006</v>
      </c>
      <c r="AE31" s="124">
        <f>(AE8+AE10+AE13+AE14)-(AD8+AD10+AD13+AD14)</f>
        <v>14.400000000000006</v>
      </c>
      <c r="AF31" s="124">
        <f>(AF8+AF10+AF13+AF14)-(AE8+AE10+AE13+AE14)</f>
        <v>14.400000000000006</v>
      </c>
      <c r="AG31" s="124">
        <f>(AG8+AG10+AG13+AG14)-(AF8+AF10+AF13+AF14)</f>
        <v>14.400000000000006</v>
      </c>
      <c r="AH31" s="124">
        <f>(AH8+AH10+AH13+AH14)-(AG8+AG10+AG13+AG14)</f>
        <v>14.400000000000006</v>
      </c>
    </row>
    <row r="32" spans="1:34" ht="12.75" hidden="1">
      <c r="A32" s="123" t="s">
        <v>196</v>
      </c>
      <c r="P32" s="124">
        <f>P9-C9</f>
        <v>899.9999999999998</v>
      </c>
      <c r="AC32" s="124">
        <f>AC9-P9</f>
        <v>0</v>
      </c>
      <c r="AD32" s="124">
        <f>AD9-AC9</f>
        <v>0</v>
      </c>
      <c r="AE32" s="124">
        <f>AE9-AD9</f>
        <v>0</v>
      </c>
      <c r="AF32" s="124">
        <f>AF9-AE9</f>
        <v>0</v>
      </c>
      <c r="AG32" s="124">
        <f>AG9-AF9</f>
        <v>0</v>
      </c>
      <c r="AH32" s="124">
        <f>AH9-AG9</f>
        <v>0</v>
      </c>
    </row>
    <row r="33" spans="1:34" ht="12.75" hidden="1">
      <c r="A33" s="123" t="s">
        <v>197</v>
      </c>
      <c r="P33" s="124">
        <f>(P21+P17)-(C21+C17)</f>
        <v>12046.14180051692</v>
      </c>
      <c r="AC33" s="124">
        <f>(AC21+AC17)-(P21+P17)</f>
        <v>-2007.6903000861566</v>
      </c>
      <c r="AD33" s="124">
        <f>(AD21+AD17)-(AC21+AC17)</f>
        <v>-2007.6903000861566</v>
      </c>
      <c r="AE33" s="124">
        <f>(AE21+AE17)-(AD21+AD17)</f>
        <v>-2007.6903000861566</v>
      </c>
      <c r="AF33" s="124">
        <f>(AF21+AF17)-(AE21+AE17)</f>
        <v>-2007.6903000861562</v>
      </c>
      <c r="AG33" s="124">
        <f>(AG21+AG17)-(AF21+AF17)</f>
        <v>-2007.6903000861514</v>
      </c>
      <c r="AH33" s="124">
        <f>(AH21+AH17)-(AG21+AG17)</f>
        <v>-2007.690300086154</v>
      </c>
    </row>
    <row r="34" spans="1:34" ht="12.75" hidden="1">
      <c r="A34" s="123" t="s">
        <v>198</v>
      </c>
      <c r="P34" s="124">
        <f>-P31+P32+P33</f>
        <v>12827.341800516919</v>
      </c>
      <c r="Q34" s="124">
        <f aca="true" t="shared" si="14" ref="Q34:AB34">Q31+Q32+Q33</f>
        <v>0</v>
      </c>
      <c r="R34" s="124">
        <f t="shared" si="14"/>
        <v>0</v>
      </c>
      <c r="S34" s="124">
        <f t="shared" si="14"/>
        <v>0</v>
      </c>
      <c r="T34" s="124">
        <f t="shared" si="14"/>
        <v>0</v>
      </c>
      <c r="U34" s="124">
        <f t="shared" si="14"/>
        <v>0</v>
      </c>
      <c r="V34" s="124">
        <f t="shared" si="14"/>
        <v>0</v>
      </c>
      <c r="W34" s="124">
        <f t="shared" si="14"/>
        <v>0</v>
      </c>
      <c r="X34" s="124">
        <f t="shared" si="14"/>
        <v>0</v>
      </c>
      <c r="Y34" s="124">
        <f t="shared" si="14"/>
        <v>0</v>
      </c>
      <c r="Z34" s="124">
        <f t="shared" si="14"/>
        <v>0</v>
      </c>
      <c r="AA34" s="124">
        <f t="shared" si="14"/>
        <v>0</v>
      </c>
      <c r="AB34" s="124">
        <f t="shared" si="14"/>
        <v>0</v>
      </c>
      <c r="AC34" s="124">
        <f aca="true" t="shared" si="15" ref="AC34:AH34">-AC31+AC32+AC33</f>
        <v>-2022.0903000861565</v>
      </c>
      <c r="AD34" s="124">
        <f t="shared" si="15"/>
        <v>-2022.0903000861567</v>
      </c>
      <c r="AE34" s="124">
        <f t="shared" si="15"/>
        <v>-2022.0903000861567</v>
      </c>
      <c r="AF34" s="124">
        <f t="shared" si="15"/>
        <v>-2022.0903000861563</v>
      </c>
      <c r="AG34" s="124">
        <f t="shared" si="15"/>
        <v>-2022.0903000861515</v>
      </c>
      <c r="AH34" s="124">
        <f t="shared" si="15"/>
        <v>-2022.090300086154</v>
      </c>
    </row>
    <row r="35" spans="1:34" ht="12.75" hidden="1">
      <c r="A35" s="123" t="s">
        <v>84</v>
      </c>
      <c r="P35" s="124">
        <f>'2-ф2'!P13</f>
        <v>936.45703125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f>'2-ф2'!AC13</f>
        <v>1248.609375</v>
      </c>
      <c r="AD35" s="124">
        <f>'2-ф2'!AD13</f>
        <v>1248.609375</v>
      </c>
      <c r="AE35" s="124">
        <f>'2-ф2'!AE13</f>
        <v>1248.609375</v>
      </c>
      <c r="AF35" s="124">
        <f>'2-ф2'!AF13</f>
        <v>1248.609375</v>
      </c>
      <c r="AG35" s="124">
        <f>'2-ф2'!AG13</f>
        <v>1248.609375</v>
      </c>
      <c r="AH35" s="124">
        <f>'2-ф2'!AH13</f>
        <v>1248.609375</v>
      </c>
    </row>
    <row r="36" spans="1:34" ht="12.75" hidden="1">
      <c r="A36" s="123" t="s">
        <v>199</v>
      </c>
      <c r="P36" s="124">
        <f>-'1-Ф3'!P21</f>
        <v>-13984.425000000001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f>-'1-Ф3'!AC21</f>
        <v>0</v>
      </c>
      <c r="AD36" s="124">
        <f>-'1-Ф3'!AD21</f>
        <v>0</v>
      </c>
      <c r="AE36" s="124">
        <f>-'1-Ф3'!AE21</f>
        <v>0</v>
      </c>
      <c r="AF36" s="124">
        <f>-'1-Ф3'!AF21</f>
        <v>0</v>
      </c>
      <c r="AG36" s="124">
        <f>-'1-Ф3'!AG21</f>
        <v>0</v>
      </c>
      <c r="AH36" s="124">
        <f>-'1-Ф3'!AH21</f>
        <v>0</v>
      </c>
    </row>
    <row r="37" spans="1:34" ht="12.75" hidden="1">
      <c r="A37" s="123" t="s">
        <v>200</v>
      </c>
      <c r="P37" s="124">
        <f>P30+P34+P35+P36+P25</f>
        <v>555.7303073886824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f aca="true" t="shared" si="16" ref="AC37:AH37">AC30+AC34+AC35+AC36</f>
        <v>4495.294310772229</v>
      </c>
      <c r="AD37" s="124">
        <f t="shared" si="16"/>
        <v>4578.281465790562</v>
      </c>
      <c r="AE37" s="124">
        <f t="shared" si="16"/>
        <v>4771.0197345988345</v>
      </c>
      <c r="AF37" s="124">
        <f t="shared" si="16"/>
        <v>4963.758003407105</v>
      </c>
      <c r="AG37" s="124">
        <f t="shared" si="16"/>
        <v>5156.496272215379</v>
      </c>
      <c r="AH37" s="124">
        <f t="shared" si="16"/>
        <v>5349.2345410236485</v>
      </c>
    </row>
    <row r="38" ht="12.75" hidden="1"/>
    <row r="39" spans="1:34" ht="12.75" hidden="1">
      <c r="A39" s="123" t="s">
        <v>211</v>
      </c>
      <c r="P39" s="124">
        <f>'1-Ф3'!P34</f>
        <v>254.06155738867164</v>
      </c>
      <c r="AC39" s="124">
        <f>'1-Ф3'!AC34</f>
        <v>4495.294310772234</v>
      </c>
      <c r="AD39" s="124">
        <f>'1-Ф3'!AD34</f>
        <v>4578.281465790579</v>
      </c>
      <c r="AE39" s="124">
        <f>'1-Ф3'!AE34</f>
        <v>4771.0197345988445</v>
      </c>
      <c r="AF39" s="124">
        <f>'1-Ф3'!AF34</f>
        <v>4963.758003407124</v>
      </c>
      <c r="AG39" s="124">
        <f>'1-Ф3'!AG34</f>
        <v>5156.49627221539</v>
      </c>
      <c r="AH39" s="124">
        <f>'1-Ф3'!AH34</f>
        <v>5349.234541023662</v>
      </c>
    </row>
    <row r="40" spans="1:34" ht="12.75" hidden="1">
      <c r="A40" s="140" t="s">
        <v>194</v>
      </c>
      <c r="B40" s="141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P39-P37</f>
        <v>-301.66875000001073</v>
      </c>
      <c r="Q40" s="143">
        <f aca="true" t="shared" si="17" ref="Q40:AB40">Q39-Q37</f>
        <v>0</v>
      </c>
      <c r="R40" s="143">
        <f t="shared" si="17"/>
        <v>0</v>
      </c>
      <c r="S40" s="143">
        <f t="shared" si="17"/>
        <v>0</v>
      </c>
      <c r="T40" s="143">
        <f t="shared" si="17"/>
        <v>0</v>
      </c>
      <c r="U40" s="143">
        <f t="shared" si="17"/>
        <v>0</v>
      </c>
      <c r="V40" s="143">
        <f t="shared" si="17"/>
        <v>0</v>
      </c>
      <c r="W40" s="143">
        <f t="shared" si="17"/>
        <v>0</v>
      </c>
      <c r="X40" s="143">
        <f t="shared" si="17"/>
        <v>0</v>
      </c>
      <c r="Y40" s="143">
        <f t="shared" si="17"/>
        <v>0</v>
      </c>
      <c r="Z40" s="143">
        <f t="shared" si="17"/>
        <v>0</v>
      </c>
      <c r="AA40" s="143">
        <f t="shared" si="17"/>
        <v>0</v>
      </c>
      <c r="AB40" s="143">
        <f t="shared" si="17"/>
        <v>0</v>
      </c>
      <c r="AC40" s="143">
        <f aca="true" t="shared" si="18" ref="AC40:AH40">AC39-AC37</f>
        <v>0</v>
      </c>
      <c r="AD40" s="143">
        <f t="shared" si="18"/>
        <v>1.7280399333685637E-11</v>
      </c>
      <c r="AE40" s="143">
        <f t="shared" si="18"/>
        <v>1.000444171950221E-11</v>
      </c>
      <c r="AF40" s="143">
        <f t="shared" si="18"/>
        <v>1.9099388737231493E-11</v>
      </c>
      <c r="AG40" s="143">
        <f t="shared" si="18"/>
        <v>1.0913936421275139E-11</v>
      </c>
      <c r="AH40" s="143">
        <f t="shared" si="18"/>
        <v>1.3642420526593924E-11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9"/>
  <sheetViews>
    <sheetView showGridLines="0" zoomScalePageLayoutView="0" workbookViewId="0" topLeftCell="A1">
      <pane ySplit="3" topLeftCell="A10" activePane="bottomLeft" state="frozen"/>
      <selection pane="topLeft" activeCell="A34" sqref="A34"/>
      <selection pane="bottomLeft" activeCell="A20" sqref="A20:C24"/>
    </sheetView>
  </sheetViews>
  <sheetFormatPr defaultColWidth="9.00390625" defaultRowHeight="12.75"/>
  <cols>
    <col min="1" max="1" width="28.75390625" style="78" customWidth="1"/>
    <col min="2" max="2" width="18.75390625" style="78" customWidth="1"/>
    <col min="3" max="3" width="17.00390625" style="78" customWidth="1"/>
    <col min="4" max="16384" width="9.125" style="78" customWidth="1"/>
  </cols>
  <sheetData>
    <row r="1" spans="1:3" ht="15.75" customHeight="1">
      <c r="A1" s="285" t="s">
        <v>43</v>
      </c>
      <c r="B1" s="285"/>
      <c r="C1" s="285"/>
    </row>
    <row r="2" ht="12" customHeight="1">
      <c r="A2" s="62"/>
    </row>
    <row r="3" spans="1:3" ht="12.75">
      <c r="A3" s="79" t="s">
        <v>31</v>
      </c>
      <c r="B3" s="80" t="s">
        <v>44</v>
      </c>
      <c r="C3" s="80" t="s">
        <v>9</v>
      </c>
    </row>
    <row r="4" ht="12.75">
      <c r="A4" s="62" t="s">
        <v>220</v>
      </c>
    </row>
    <row r="5" spans="1:3" ht="12.75">
      <c r="A5" s="81" t="s">
        <v>118</v>
      </c>
      <c r="B5" s="81"/>
      <c r="C5" s="149">
        <v>148</v>
      </c>
    </row>
    <row r="6" spans="1:3" ht="12.75">
      <c r="A6" s="81" t="s">
        <v>232</v>
      </c>
      <c r="B6" s="81"/>
      <c r="C6" s="149">
        <v>5</v>
      </c>
    </row>
    <row r="7" spans="1:4" ht="12.75">
      <c r="A7" s="81" t="s">
        <v>80</v>
      </c>
      <c r="B7" s="81"/>
      <c r="C7" s="167">
        <f>20%*C8+C26*(1-C19)*(1-C8)</f>
        <v>0.12719999999999998</v>
      </c>
      <c r="D7" s="78" t="s">
        <v>250</v>
      </c>
    </row>
    <row r="8" spans="1:3" ht="12.75">
      <c r="A8" s="81" t="s">
        <v>249</v>
      </c>
      <c r="B8" s="81"/>
      <c r="C8" s="84">
        <v>0.3</v>
      </c>
    </row>
    <row r="9" spans="1:3" ht="12.75">
      <c r="A9" s="81" t="s">
        <v>201</v>
      </c>
      <c r="B9" s="81"/>
      <c r="C9" s="85" t="s">
        <v>65</v>
      </c>
    </row>
    <row r="10" ht="12.75">
      <c r="A10" s="62" t="s">
        <v>202</v>
      </c>
    </row>
    <row r="11" spans="1:3" ht="12.75">
      <c r="A11" s="81" t="s">
        <v>52</v>
      </c>
      <c r="B11" s="83" t="s">
        <v>46</v>
      </c>
      <c r="C11" s="84">
        <v>0.1</v>
      </c>
    </row>
    <row r="12" spans="1:3" ht="12.75">
      <c r="A12" s="81" t="s">
        <v>57</v>
      </c>
      <c r="B12" s="83" t="s">
        <v>46</v>
      </c>
      <c r="C12" s="84">
        <v>0.05</v>
      </c>
    </row>
    <row r="13" spans="1:3" ht="12.75">
      <c r="A13" s="81" t="s">
        <v>53</v>
      </c>
      <c r="B13" s="83" t="s">
        <v>46</v>
      </c>
      <c r="C13" s="84">
        <v>0.1</v>
      </c>
    </row>
    <row r="14" spans="1:3" ht="12.75">
      <c r="A14" s="81" t="s">
        <v>55</v>
      </c>
      <c r="B14" s="83" t="s">
        <v>46</v>
      </c>
      <c r="C14" s="84">
        <v>0.11</v>
      </c>
    </row>
    <row r="15" spans="1:3" ht="12.75">
      <c r="A15" s="81" t="s">
        <v>150</v>
      </c>
      <c r="B15" s="83" t="s">
        <v>65</v>
      </c>
      <c r="C15" s="86">
        <v>15.999</v>
      </c>
    </row>
    <row r="16" spans="1:3" ht="12.75">
      <c r="A16" s="81" t="s">
        <v>2</v>
      </c>
      <c r="B16" s="83"/>
      <c r="C16" s="84">
        <v>0.01</v>
      </c>
    </row>
    <row r="17" spans="1:3" ht="12.75">
      <c r="A17" s="81" t="s">
        <v>45</v>
      </c>
      <c r="B17" s="83" t="s">
        <v>46</v>
      </c>
      <c r="C17" s="84">
        <v>0.12</v>
      </c>
    </row>
    <row r="18" spans="1:3" ht="12.75">
      <c r="A18" s="81" t="s">
        <v>67</v>
      </c>
      <c r="B18" s="81"/>
      <c r="C18" s="82">
        <v>1.12</v>
      </c>
    </row>
    <row r="19" spans="1:3" ht="12.75">
      <c r="A19" s="81" t="s">
        <v>64</v>
      </c>
      <c r="B19" s="81"/>
      <c r="C19" s="84">
        <v>0.2</v>
      </c>
    </row>
    <row r="20" ht="12.75">
      <c r="A20" s="62" t="s">
        <v>219</v>
      </c>
    </row>
    <row r="21" spans="1:3" ht="12.75">
      <c r="A21" s="81" t="s">
        <v>215</v>
      </c>
      <c r="B21" s="81"/>
      <c r="C21" s="149">
        <v>6</v>
      </c>
    </row>
    <row r="22" spans="1:3" ht="12.75">
      <c r="A22" s="81" t="s">
        <v>126</v>
      </c>
      <c r="B22" s="83" t="s">
        <v>216</v>
      </c>
      <c r="C22" s="149">
        <v>20</v>
      </c>
    </row>
    <row r="23" spans="1:3" ht="12.75">
      <c r="A23" s="81" t="s">
        <v>217</v>
      </c>
      <c r="B23" s="83" t="s">
        <v>65</v>
      </c>
      <c r="C23" s="149">
        <v>50</v>
      </c>
    </row>
    <row r="24" spans="1:3" ht="38.25">
      <c r="A24" s="174" t="s">
        <v>313</v>
      </c>
      <c r="B24" s="239" t="s">
        <v>65</v>
      </c>
      <c r="C24" s="240">
        <v>12</v>
      </c>
    </row>
    <row r="25" ht="12.75">
      <c r="A25" s="62" t="s">
        <v>221</v>
      </c>
    </row>
    <row r="26" spans="1:3" ht="12.75">
      <c r="A26" s="81" t="s">
        <v>62</v>
      </c>
      <c r="B26" s="83" t="s">
        <v>46</v>
      </c>
      <c r="C26" s="84">
        <v>0.12</v>
      </c>
    </row>
    <row r="27" spans="1:3" ht="12.75">
      <c r="A27" s="81" t="s">
        <v>222</v>
      </c>
      <c r="B27" s="83" t="s">
        <v>223</v>
      </c>
      <c r="C27" s="149">
        <v>7</v>
      </c>
    </row>
    <row r="28" spans="1:3" ht="12.75">
      <c r="A28" s="81" t="s">
        <v>224</v>
      </c>
      <c r="B28" s="83" t="s">
        <v>226</v>
      </c>
      <c r="C28" s="149">
        <v>6</v>
      </c>
    </row>
    <row r="29" spans="1:3" ht="12.75">
      <c r="A29" s="81" t="s">
        <v>225</v>
      </c>
      <c r="B29" s="83" t="s">
        <v>226</v>
      </c>
      <c r="C29" s="149">
        <v>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A5" sqref="A5:A9"/>
    </sheetView>
  </sheetViews>
  <sheetFormatPr defaultColWidth="8.875" defaultRowHeight="12.75"/>
  <cols>
    <col min="1" max="1" width="29.75390625" style="78" customWidth="1"/>
    <col min="2" max="2" width="10.875" style="78" customWidth="1"/>
    <col min="3" max="7" width="8.875" style="78" customWidth="1"/>
    <col min="8" max="16384" width="8.875" style="78" customWidth="1"/>
  </cols>
  <sheetData>
    <row r="1" ht="12.75">
      <c r="A1" s="62" t="s">
        <v>105</v>
      </c>
    </row>
    <row r="2" ht="12.75">
      <c r="A2" s="62"/>
    </row>
    <row r="3" spans="1:7" ht="12.75">
      <c r="A3" s="78" t="s">
        <v>47</v>
      </c>
      <c r="C3" s="144"/>
      <c r="D3" s="144"/>
      <c r="E3" s="144"/>
      <c r="F3" s="144"/>
      <c r="G3" s="144"/>
    </row>
    <row r="4" spans="1:9" ht="12.75">
      <c r="A4" s="238" t="s">
        <v>106</v>
      </c>
      <c r="B4" s="234"/>
      <c r="C4" s="234">
        <v>2012</v>
      </c>
      <c r="D4" s="234">
        <f aca="true" t="shared" si="0" ref="D4:I4">C4+1</f>
        <v>2013</v>
      </c>
      <c r="E4" s="234">
        <f t="shared" si="0"/>
        <v>2014</v>
      </c>
      <c r="F4" s="234">
        <f t="shared" si="0"/>
        <v>2015</v>
      </c>
      <c r="G4" s="234">
        <f t="shared" si="0"/>
        <v>2016</v>
      </c>
      <c r="H4" s="234">
        <f t="shared" si="0"/>
        <v>2017</v>
      </c>
      <c r="I4" s="234">
        <f t="shared" si="0"/>
        <v>2018</v>
      </c>
    </row>
    <row r="5" spans="1:9" ht="12.75">
      <c r="A5" s="235" t="s">
        <v>212</v>
      </c>
      <c r="B5" s="237" t="s">
        <v>127</v>
      </c>
      <c r="C5" s="236">
        <f aca="true" t="shared" si="1" ref="C5:I5">C8*C9</f>
        <v>5357.142857142857</v>
      </c>
      <c r="D5" s="236">
        <f t="shared" si="1"/>
        <v>5357.142857142857</v>
      </c>
      <c r="E5" s="236">
        <f t="shared" si="1"/>
        <v>5357.142857142857</v>
      </c>
      <c r="F5" s="236">
        <f t="shared" si="1"/>
        <v>5357.142857142857</v>
      </c>
      <c r="G5" s="236">
        <f t="shared" si="1"/>
        <v>5357.142857142857</v>
      </c>
      <c r="H5" s="236">
        <f t="shared" si="1"/>
        <v>5357.142857142857</v>
      </c>
      <c r="I5" s="236">
        <f t="shared" si="1"/>
        <v>5357.142857142857</v>
      </c>
    </row>
    <row r="6" spans="1:9" ht="12.75">
      <c r="A6" s="81" t="s">
        <v>125</v>
      </c>
      <c r="B6" s="150">
        <f>Исх!C21</f>
        <v>6</v>
      </c>
      <c r="C6" s="150">
        <f>B6</f>
        <v>6</v>
      </c>
      <c r="D6" s="150">
        <f>B6</f>
        <v>6</v>
      </c>
      <c r="E6" s="150">
        <f>B6</f>
        <v>6</v>
      </c>
      <c r="F6" s="150">
        <f aca="true" t="shared" si="2" ref="E6:I7">E6</f>
        <v>6</v>
      </c>
      <c r="G6" s="150">
        <f t="shared" si="2"/>
        <v>6</v>
      </c>
      <c r="H6" s="150">
        <f t="shared" si="2"/>
        <v>6</v>
      </c>
      <c r="I6" s="150">
        <f t="shared" si="2"/>
        <v>6</v>
      </c>
    </row>
    <row r="7" spans="1:9" ht="12.75">
      <c r="A7" s="81" t="s">
        <v>126</v>
      </c>
      <c r="B7" s="150">
        <f>Исх!C22</f>
        <v>20</v>
      </c>
      <c r="C7" s="150">
        <f>B7</f>
        <v>20</v>
      </c>
      <c r="D7" s="150">
        <f>C7</f>
        <v>20</v>
      </c>
      <c r="E7" s="150">
        <f t="shared" si="2"/>
        <v>20</v>
      </c>
      <c r="F7" s="150">
        <f t="shared" si="2"/>
        <v>20</v>
      </c>
      <c r="G7" s="150">
        <f t="shared" si="2"/>
        <v>20</v>
      </c>
      <c r="H7" s="150">
        <f t="shared" si="2"/>
        <v>20</v>
      </c>
      <c r="I7" s="150">
        <f t="shared" si="2"/>
        <v>20</v>
      </c>
    </row>
    <row r="8" spans="1:9" ht="12.75">
      <c r="A8" s="81" t="s">
        <v>171</v>
      </c>
      <c r="B8" s="150"/>
      <c r="C8" s="150">
        <f>C6*C7</f>
        <v>120</v>
      </c>
      <c r="D8" s="150">
        <f aca="true" t="shared" si="3" ref="D8:I8">D6*D7</f>
        <v>120</v>
      </c>
      <c r="E8" s="150">
        <f t="shared" si="3"/>
        <v>120</v>
      </c>
      <c r="F8" s="150">
        <f t="shared" si="3"/>
        <v>120</v>
      </c>
      <c r="G8" s="150">
        <f t="shared" si="3"/>
        <v>120</v>
      </c>
      <c r="H8" s="150">
        <f t="shared" si="3"/>
        <v>120</v>
      </c>
      <c r="I8" s="150">
        <f t="shared" si="3"/>
        <v>120</v>
      </c>
    </row>
    <row r="9" spans="1:9" ht="12.75">
      <c r="A9" s="81" t="s">
        <v>214</v>
      </c>
      <c r="B9" s="150">
        <f>Исх!C23/Исх!$C$18</f>
        <v>44.64285714285714</v>
      </c>
      <c r="C9" s="150">
        <f>B9</f>
        <v>44.64285714285714</v>
      </c>
      <c r="D9" s="150">
        <f aca="true" t="shared" si="4" ref="D9:I9">C9+C9*D2</f>
        <v>44.64285714285714</v>
      </c>
      <c r="E9" s="150">
        <f t="shared" si="4"/>
        <v>44.64285714285714</v>
      </c>
      <c r="F9" s="150">
        <f t="shared" si="4"/>
        <v>44.64285714285714</v>
      </c>
      <c r="G9" s="150">
        <f t="shared" si="4"/>
        <v>44.64285714285714</v>
      </c>
      <c r="H9" s="150">
        <f t="shared" si="4"/>
        <v>44.64285714285714</v>
      </c>
      <c r="I9" s="150">
        <f t="shared" si="4"/>
        <v>44.64285714285714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4" sqref="D14"/>
    </sheetView>
  </sheetViews>
  <sheetFormatPr defaultColWidth="8.875" defaultRowHeight="12.75"/>
  <cols>
    <col min="1" max="1" width="33.625" style="78" customWidth="1"/>
    <col min="2" max="2" width="9.875" style="78" customWidth="1"/>
    <col min="3" max="3" width="10.75390625" style="78" customWidth="1"/>
    <col min="4" max="4" width="12.25390625" style="78" customWidth="1"/>
    <col min="5" max="8" width="10.75390625" style="78" customWidth="1"/>
    <col min="9" max="16384" width="8.875" style="78" customWidth="1"/>
  </cols>
  <sheetData>
    <row r="1" spans="1:3" ht="12.75">
      <c r="A1" s="62" t="s">
        <v>107</v>
      </c>
      <c r="B1" s="62"/>
      <c r="C1" s="62"/>
    </row>
    <row r="2" spans="1:2" ht="7.5" customHeight="1">
      <c r="A2" s="62"/>
      <c r="B2" s="62"/>
    </row>
    <row r="3" ht="12.75">
      <c r="A3" s="78" t="s">
        <v>47</v>
      </c>
    </row>
    <row r="4" spans="1:8" ht="12.75">
      <c r="A4" s="233" t="s">
        <v>117</v>
      </c>
      <c r="B4" s="234">
        <f>Дох!C4</f>
        <v>2012</v>
      </c>
      <c r="C4" s="234">
        <f>Дох!D4</f>
        <v>2013</v>
      </c>
      <c r="D4" s="234">
        <f>Дох!E4</f>
        <v>2014</v>
      </c>
      <c r="E4" s="234">
        <f>Дох!F4</f>
        <v>2015</v>
      </c>
      <c r="F4" s="234">
        <f>Дох!G4</f>
        <v>2016</v>
      </c>
      <c r="G4" s="234">
        <f>Дох!H4</f>
        <v>2017</v>
      </c>
      <c r="H4" s="234">
        <f>Дох!I4</f>
        <v>2018</v>
      </c>
    </row>
    <row r="5" spans="1:8" ht="12.75">
      <c r="A5" s="235" t="s">
        <v>218</v>
      </c>
      <c r="B5" s="236">
        <f aca="true" t="shared" si="0" ref="B5:H5">SUM(B6:B6)</f>
        <v>1285.7142857142856</v>
      </c>
      <c r="C5" s="236">
        <f t="shared" si="0"/>
        <v>1285.7142857142856</v>
      </c>
      <c r="D5" s="236">
        <f t="shared" si="0"/>
        <v>1285.7142857142856</v>
      </c>
      <c r="E5" s="236">
        <f t="shared" si="0"/>
        <v>1285.7142857142856</v>
      </c>
      <c r="F5" s="236">
        <f t="shared" si="0"/>
        <v>1285.7142857142856</v>
      </c>
      <c r="G5" s="236">
        <f t="shared" si="0"/>
        <v>1285.7142857142856</v>
      </c>
      <c r="H5" s="236">
        <f t="shared" si="0"/>
        <v>1285.7142857142856</v>
      </c>
    </row>
    <row r="6" spans="1:8" ht="12.75">
      <c r="A6" s="81" t="s">
        <v>129</v>
      </c>
      <c r="B6" s="150">
        <f>$C$12*B19</f>
        <v>1285.7142857142856</v>
      </c>
      <c r="C6" s="150">
        <f aca="true" t="shared" si="1" ref="C6:H6">B6/B19*(1+C3)*C19</f>
        <v>1285.7142857142856</v>
      </c>
      <c r="D6" s="150">
        <f t="shared" si="1"/>
        <v>1285.7142857142856</v>
      </c>
      <c r="E6" s="150">
        <f t="shared" si="1"/>
        <v>1285.7142857142856</v>
      </c>
      <c r="F6" s="150">
        <f t="shared" si="1"/>
        <v>1285.7142857142856</v>
      </c>
      <c r="G6" s="150">
        <f t="shared" si="1"/>
        <v>1285.7142857142856</v>
      </c>
      <c r="H6" s="150">
        <f t="shared" si="1"/>
        <v>1285.7142857142856</v>
      </c>
    </row>
    <row r="7" spans="1:8" ht="12.75">
      <c r="A7" s="81" t="s">
        <v>296</v>
      </c>
      <c r="B7" s="150">
        <f>B5*'2-ф2'!P20</f>
        <v>961.4285714285714</v>
      </c>
      <c r="C7" s="150">
        <f>C6*'2-ф2'!AC20</f>
        <v>1258.9285714285713</v>
      </c>
      <c r="D7" s="150">
        <f>D6*'2-ф2'!AD20</f>
        <v>1285.7142857142856</v>
      </c>
      <c r="E7" s="150">
        <f>E6*'2-ф2'!AE20</f>
        <v>1285.7142857142856</v>
      </c>
      <c r="F7" s="150">
        <f>F6*'2-ф2'!AF20</f>
        <v>1285.7142857142856</v>
      </c>
      <c r="G7" s="150">
        <f>G6*'2-ф2'!AG20</f>
        <v>1285.7142857142856</v>
      </c>
      <c r="H7" s="150">
        <f>H6*'2-ф2'!AH20</f>
        <v>1285.7142857142856</v>
      </c>
    </row>
    <row r="9" ht="12.75">
      <c r="A9" s="62" t="s">
        <v>128</v>
      </c>
    </row>
    <row r="10" ht="8.25" customHeight="1"/>
    <row r="11" spans="1:4" ht="12.75">
      <c r="A11" s="151" t="s">
        <v>130</v>
      </c>
      <c r="C11" s="152" t="s">
        <v>47</v>
      </c>
      <c r="D11" s="152" t="s">
        <v>122</v>
      </c>
    </row>
    <row r="12" spans="1:4" ht="12.75">
      <c r="A12" s="81" t="s">
        <v>135</v>
      </c>
      <c r="B12" s="153" t="s">
        <v>65</v>
      </c>
      <c r="C12" s="241">
        <f>D12/Исх!$C$18</f>
        <v>10.714285714285714</v>
      </c>
      <c r="D12" s="241">
        <f>Исх!C24</f>
        <v>12</v>
      </c>
    </row>
    <row r="13" spans="1:4" ht="12.75">
      <c r="A13" s="151" t="s">
        <v>131</v>
      </c>
      <c r="B13" s="8"/>
      <c r="C13" s="152"/>
      <c r="D13" s="152"/>
    </row>
    <row r="14" spans="1:4" ht="12.75">
      <c r="A14" s="81" t="s">
        <v>169</v>
      </c>
      <c r="B14" s="153" t="s">
        <v>65</v>
      </c>
      <c r="C14" s="150">
        <f>Пост!E6/Дох!E8</f>
        <v>18.86616666666667</v>
      </c>
      <c r="D14" s="150">
        <f>C14</f>
        <v>18.86616666666667</v>
      </c>
    </row>
    <row r="15" spans="1:4" ht="12.75">
      <c r="A15" s="81" t="s">
        <v>170</v>
      </c>
      <c r="B15" s="153" t="s">
        <v>65</v>
      </c>
      <c r="C15" s="241">
        <f>(Пост!E19-Пост!E6+Пост!E21+Пост!E24)/'Расх перем'!D19</f>
        <v>8.789832833333334</v>
      </c>
      <c r="D15" s="241">
        <f>((Пост!E19-Пост!E6)*Исх!C18+Пост!E21+Пост!E24)/'Расх перем'!D19</f>
        <v>9.842348833333336</v>
      </c>
    </row>
    <row r="16" spans="1:4" ht="12.75">
      <c r="A16" s="151" t="s">
        <v>132</v>
      </c>
      <c r="B16" s="151"/>
      <c r="C16" s="154">
        <f>SUM(C12:C15)</f>
        <v>38.370285214285715</v>
      </c>
      <c r="D16" s="154">
        <f>SUM(D12:D15)</f>
        <v>40.708515500000004</v>
      </c>
    </row>
    <row r="17" ht="7.5" customHeight="1"/>
    <row r="18" s="155" customFormat="1" ht="12.75">
      <c r="A18" s="155" t="s">
        <v>133</v>
      </c>
    </row>
    <row r="19" spans="1:8" s="155" customFormat="1" ht="12.75">
      <c r="A19" s="155" t="s">
        <v>134</v>
      </c>
      <c r="B19" s="155">
        <f>Дох!C6*Дох!C7</f>
        <v>120</v>
      </c>
      <c r="C19" s="155">
        <f>Дох!D6*Дох!D7</f>
        <v>120</v>
      </c>
      <c r="D19" s="155">
        <f>Дох!E6*Дох!E7</f>
        <v>120</v>
      </c>
      <c r="E19" s="155">
        <f>Дох!F6*Дох!F7</f>
        <v>120</v>
      </c>
      <c r="F19" s="155">
        <f>Дох!G6*Дох!G7</f>
        <v>120</v>
      </c>
      <c r="G19" s="155">
        <f>Дох!H6*Дох!H7</f>
        <v>120</v>
      </c>
      <c r="H19" s="155">
        <f>Дох!I6*Дох!I7</f>
        <v>120</v>
      </c>
    </row>
  </sheetData>
  <sheetProtection/>
  <printOptions/>
  <pageMargins left="0.34" right="0.43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M42"/>
  <sheetViews>
    <sheetView showGridLines="0" zoomScalePageLayoutView="0" workbookViewId="0" topLeftCell="A1">
      <pane xSplit="1" ySplit="4" topLeftCell="B20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4" sqref="A4:K35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hidden="1" customWidth="1"/>
    <col min="10" max="10" width="10.125" style="78" hidden="1" customWidth="1"/>
    <col min="11" max="11" width="12.00390625" style="78" customWidth="1"/>
    <col min="12" max="16384" width="9.125" style="78" customWidth="1"/>
  </cols>
  <sheetData>
    <row r="1" ht="5.25" customHeight="1"/>
    <row r="2" spans="1:11" ht="16.5" customHeight="1">
      <c r="A2" s="62" t="s">
        <v>203</v>
      </c>
      <c r="D2" s="173"/>
      <c r="E2" s="173"/>
      <c r="F2" s="173"/>
      <c r="G2" s="173"/>
      <c r="H2" s="173"/>
      <c r="I2" s="173"/>
      <c r="J2" s="173"/>
      <c r="K2" s="232" t="str">
        <f>Исх!C9</f>
        <v>тыс.тг.</v>
      </c>
    </row>
    <row r="3" spans="1:11" ht="8.2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 ht="42" customHeight="1">
      <c r="A4" s="157" t="s">
        <v>40</v>
      </c>
      <c r="B4" s="158" t="s">
        <v>41</v>
      </c>
      <c r="C4" s="242" t="s">
        <v>42</v>
      </c>
      <c r="D4" s="159" t="s">
        <v>103</v>
      </c>
      <c r="E4" s="159" t="s">
        <v>104</v>
      </c>
      <c r="F4" s="159" t="s">
        <v>52</v>
      </c>
      <c r="G4" s="159" t="s">
        <v>53</v>
      </c>
      <c r="H4" s="159" t="s">
        <v>54</v>
      </c>
      <c r="I4" s="159" t="s">
        <v>55</v>
      </c>
      <c r="J4" s="159" t="s">
        <v>56</v>
      </c>
      <c r="K4" s="159" t="s">
        <v>49</v>
      </c>
      <c r="L4" s="212"/>
    </row>
    <row r="5" spans="1:11" s="62" customFormat="1" ht="12.75">
      <c r="A5" s="147"/>
      <c r="B5" s="160" t="s">
        <v>102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ht="12.75">
      <c r="A6" s="81">
        <v>1</v>
      </c>
      <c r="B6" s="81" t="s">
        <v>151</v>
      </c>
      <c r="C6" s="81">
        <v>1</v>
      </c>
      <c r="D6" s="149">
        <v>85</v>
      </c>
      <c r="E6" s="161">
        <f>C6*D6</f>
        <v>85</v>
      </c>
      <c r="F6" s="161">
        <f>E6*$C$37</f>
        <v>8.5</v>
      </c>
      <c r="G6" s="161">
        <f>(E6-$C$41-F6)*$C$39</f>
        <v>6.0501000000000005</v>
      </c>
      <c r="H6" s="161">
        <f>(E6-F6)*$C$38</f>
        <v>3.825</v>
      </c>
      <c r="I6" s="161">
        <f>(E6-F6)*$C$40-H6</f>
        <v>4.590000000000001</v>
      </c>
      <c r="J6" s="161">
        <f>E6-F6-G6</f>
        <v>70.4499</v>
      </c>
      <c r="K6" s="162">
        <f>SUM(F6:J6)</f>
        <v>93.41499999999999</v>
      </c>
    </row>
    <row r="7" spans="1:11" ht="12.75">
      <c r="A7" s="81">
        <v>2</v>
      </c>
      <c r="B7" s="81" t="s">
        <v>160</v>
      </c>
      <c r="C7" s="81">
        <v>1</v>
      </c>
      <c r="D7" s="149">
        <v>65</v>
      </c>
      <c r="E7" s="161">
        <f>C7*D7</f>
        <v>65</v>
      </c>
      <c r="F7" s="161">
        <f>E7*$C$37</f>
        <v>6.5</v>
      </c>
      <c r="G7" s="161">
        <f>(E7-$C$41-F7)*$C$39</f>
        <v>4.2501</v>
      </c>
      <c r="H7" s="161">
        <f>(E7-F7)*$C$38</f>
        <v>2.9250000000000003</v>
      </c>
      <c r="I7" s="161">
        <f>(E7-F7)*$C$40-H7</f>
        <v>3.5099999999999993</v>
      </c>
      <c r="J7" s="161">
        <f>E7-F7-G7</f>
        <v>54.2499</v>
      </c>
      <c r="K7" s="162">
        <f>SUM(F7:J7)</f>
        <v>71.435</v>
      </c>
    </row>
    <row r="8" spans="1:11" ht="12.75">
      <c r="A8" s="81">
        <v>3</v>
      </c>
      <c r="B8" s="81" t="s">
        <v>314</v>
      </c>
      <c r="C8" s="81">
        <v>1</v>
      </c>
      <c r="D8" s="149">
        <v>60</v>
      </c>
      <c r="E8" s="161">
        <f>C8*D8</f>
        <v>60</v>
      </c>
      <c r="F8" s="161">
        <f>E8*$C$37</f>
        <v>6</v>
      </c>
      <c r="G8" s="161">
        <f>(E8-$C$41-F8)*$C$39</f>
        <v>3.8001</v>
      </c>
      <c r="H8" s="161">
        <f>(E8-F8)*$C$38</f>
        <v>2.7</v>
      </c>
      <c r="I8" s="161">
        <f>(E8-F8)*$C$40-H8</f>
        <v>3.24</v>
      </c>
      <c r="J8" s="161">
        <f>E8-F8-G8</f>
        <v>50.1999</v>
      </c>
      <c r="K8" s="162">
        <f>SUM(F8:J8)</f>
        <v>65.94</v>
      </c>
    </row>
    <row r="9" spans="1:11" s="62" customFormat="1" ht="12.75">
      <c r="A9" s="163"/>
      <c r="B9" s="163" t="s">
        <v>0</v>
      </c>
      <c r="C9" s="31">
        <f aca="true" t="shared" si="0" ref="C9:K9">SUM(C6:C8)</f>
        <v>3</v>
      </c>
      <c r="D9" s="31">
        <f t="shared" si="0"/>
        <v>210</v>
      </c>
      <c r="E9" s="31">
        <f t="shared" si="0"/>
        <v>210</v>
      </c>
      <c r="F9" s="31">
        <f t="shared" si="0"/>
        <v>21</v>
      </c>
      <c r="G9" s="31">
        <f t="shared" si="0"/>
        <v>14.1003</v>
      </c>
      <c r="H9" s="31">
        <f t="shared" si="0"/>
        <v>9.45</v>
      </c>
      <c r="I9" s="31">
        <f t="shared" si="0"/>
        <v>11.34</v>
      </c>
      <c r="J9" s="31">
        <f t="shared" si="0"/>
        <v>174.8997</v>
      </c>
      <c r="K9" s="31">
        <f t="shared" si="0"/>
        <v>230.79</v>
      </c>
    </row>
    <row r="10" spans="1:11" s="62" customFormat="1" ht="12.75">
      <c r="A10" s="147"/>
      <c r="B10" s="147" t="s">
        <v>112</v>
      </c>
      <c r="C10" s="147"/>
      <c r="D10" s="148"/>
      <c r="E10" s="148"/>
      <c r="F10" s="148"/>
      <c r="G10" s="148"/>
      <c r="H10" s="148"/>
      <c r="I10" s="148"/>
      <c r="J10" s="148"/>
      <c r="K10" s="148"/>
    </row>
    <row r="11" spans="1:11" ht="12.75">
      <c r="A11" s="81">
        <v>1</v>
      </c>
      <c r="B11" s="81" t="s">
        <v>154</v>
      </c>
      <c r="C11" s="81">
        <v>1</v>
      </c>
      <c r="D11" s="149">
        <v>55</v>
      </c>
      <c r="E11" s="161">
        <f aca="true" t="shared" si="1" ref="E11:E18">C11*D11</f>
        <v>55</v>
      </c>
      <c r="F11" s="161">
        <f aca="true" t="shared" si="2" ref="F11:F18">E11*$C$37</f>
        <v>5.5</v>
      </c>
      <c r="G11" s="161">
        <f aca="true" t="shared" si="3" ref="G11:G18">(E11-$C$41-F11)*$C$39</f>
        <v>3.3501</v>
      </c>
      <c r="H11" s="161">
        <f aca="true" t="shared" si="4" ref="H11:H18">(E11-F11)*$C$38</f>
        <v>2.475</v>
      </c>
      <c r="I11" s="161">
        <f aca="true" t="shared" si="5" ref="I11:I18">(E11-F11)*$C$40-H11</f>
        <v>2.97</v>
      </c>
      <c r="J11" s="161">
        <f aca="true" t="shared" si="6" ref="J11:J18">E11-F11-G11</f>
        <v>46.1499</v>
      </c>
      <c r="K11" s="162">
        <f aca="true" t="shared" si="7" ref="K11:K18">SUM(F11:J11)</f>
        <v>60.445</v>
      </c>
    </row>
    <row r="12" spans="1:11" ht="12.75">
      <c r="A12" s="81">
        <v>2</v>
      </c>
      <c r="B12" s="81" t="s">
        <v>136</v>
      </c>
      <c r="C12" s="161">
        <f>Исх!C21*2</f>
        <v>12</v>
      </c>
      <c r="D12" s="149">
        <v>55</v>
      </c>
      <c r="E12" s="161">
        <f t="shared" si="1"/>
        <v>660</v>
      </c>
      <c r="F12" s="161">
        <f t="shared" si="2"/>
        <v>66</v>
      </c>
      <c r="G12" s="161">
        <f t="shared" si="3"/>
        <v>57.8001</v>
      </c>
      <c r="H12" s="161">
        <f t="shared" si="4"/>
        <v>29.700000000000003</v>
      </c>
      <c r="I12" s="161">
        <f t="shared" si="5"/>
        <v>35.64</v>
      </c>
      <c r="J12" s="161">
        <f t="shared" si="6"/>
        <v>536.1999</v>
      </c>
      <c r="K12" s="162">
        <f t="shared" si="7"/>
        <v>725.3399999999999</v>
      </c>
    </row>
    <row r="13" spans="1:11" ht="12.75">
      <c r="A13" s="81">
        <v>3</v>
      </c>
      <c r="B13" s="81" t="s">
        <v>137</v>
      </c>
      <c r="C13" s="161">
        <f>Исх!C21</f>
        <v>6</v>
      </c>
      <c r="D13" s="149">
        <v>50</v>
      </c>
      <c r="E13" s="161">
        <f t="shared" si="1"/>
        <v>300</v>
      </c>
      <c r="F13" s="161">
        <f t="shared" si="2"/>
        <v>30</v>
      </c>
      <c r="G13" s="161">
        <f t="shared" si="3"/>
        <v>25.4001</v>
      </c>
      <c r="H13" s="161">
        <f t="shared" si="4"/>
        <v>13.5</v>
      </c>
      <c r="I13" s="161">
        <f t="shared" si="5"/>
        <v>16.2</v>
      </c>
      <c r="J13" s="161">
        <f t="shared" si="6"/>
        <v>244.5999</v>
      </c>
      <c r="K13" s="162">
        <f t="shared" si="7"/>
        <v>329.7</v>
      </c>
    </row>
    <row r="14" spans="1:11" ht="12.75">
      <c r="A14" s="81">
        <v>4</v>
      </c>
      <c r="B14" s="81" t="s">
        <v>142</v>
      </c>
      <c r="C14" s="81">
        <v>1</v>
      </c>
      <c r="D14" s="149">
        <v>55</v>
      </c>
      <c r="E14" s="161">
        <f t="shared" si="1"/>
        <v>55</v>
      </c>
      <c r="F14" s="161">
        <f t="shared" si="2"/>
        <v>5.5</v>
      </c>
      <c r="G14" s="161">
        <f t="shared" si="3"/>
        <v>3.3501</v>
      </c>
      <c r="H14" s="161">
        <f t="shared" si="4"/>
        <v>2.475</v>
      </c>
      <c r="I14" s="161">
        <f t="shared" si="5"/>
        <v>2.97</v>
      </c>
      <c r="J14" s="161">
        <f t="shared" si="6"/>
        <v>46.1499</v>
      </c>
      <c r="K14" s="162">
        <f t="shared" si="7"/>
        <v>60.445</v>
      </c>
    </row>
    <row r="15" spans="1:11" ht="12.75">
      <c r="A15" s="81">
        <v>5</v>
      </c>
      <c r="B15" s="81" t="s">
        <v>161</v>
      </c>
      <c r="C15" s="81">
        <v>0.5</v>
      </c>
      <c r="D15" s="149">
        <v>55</v>
      </c>
      <c r="E15" s="161">
        <f t="shared" si="1"/>
        <v>27.5</v>
      </c>
      <c r="F15" s="161">
        <f t="shared" si="2"/>
        <v>2.75</v>
      </c>
      <c r="G15" s="161">
        <f t="shared" si="3"/>
        <v>0.8751</v>
      </c>
      <c r="H15" s="161">
        <f t="shared" si="4"/>
        <v>1.2375</v>
      </c>
      <c r="I15" s="161">
        <f t="shared" si="5"/>
        <v>1.485</v>
      </c>
      <c r="J15" s="161">
        <f t="shared" si="6"/>
        <v>23.8749</v>
      </c>
      <c r="K15" s="162">
        <f t="shared" si="7"/>
        <v>30.2225</v>
      </c>
    </row>
    <row r="16" spans="1:11" ht="12.75">
      <c r="A16" s="81">
        <v>6</v>
      </c>
      <c r="B16" s="81" t="s">
        <v>152</v>
      </c>
      <c r="C16" s="81">
        <v>1</v>
      </c>
      <c r="D16" s="149">
        <v>55</v>
      </c>
      <c r="E16" s="161">
        <f t="shared" si="1"/>
        <v>55</v>
      </c>
      <c r="F16" s="161">
        <f t="shared" si="2"/>
        <v>5.5</v>
      </c>
      <c r="G16" s="161">
        <f t="shared" si="3"/>
        <v>3.3501</v>
      </c>
      <c r="H16" s="161">
        <f t="shared" si="4"/>
        <v>2.475</v>
      </c>
      <c r="I16" s="161">
        <f t="shared" si="5"/>
        <v>2.97</v>
      </c>
      <c r="J16" s="161">
        <f t="shared" si="6"/>
        <v>46.1499</v>
      </c>
      <c r="K16" s="162">
        <f t="shared" si="7"/>
        <v>60.445</v>
      </c>
    </row>
    <row r="17" spans="1:11" ht="12.75">
      <c r="A17" s="81">
        <v>7</v>
      </c>
      <c r="B17" s="81" t="s">
        <v>153</v>
      </c>
      <c r="C17" s="81">
        <v>1</v>
      </c>
      <c r="D17" s="149">
        <v>55</v>
      </c>
      <c r="E17" s="161">
        <f t="shared" si="1"/>
        <v>55</v>
      </c>
      <c r="F17" s="161">
        <f t="shared" si="2"/>
        <v>5.5</v>
      </c>
      <c r="G17" s="161">
        <f t="shared" si="3"/>
        <v>3.3501</v>
      </c>
      <c r="H17" s="161">
        <f t="shared" si="4"/>
        <v>2.475</v>
      </c>
      <c r="I17" s="161">
        <f t="shared" si="5"/>
        <v>2.97</v>
      </c>
      <c r="J17" s="161">
        <f t="shared" si="6"/>
        <v>46.1499</v>
      </c>
      <c r="K17" s="162">
        <f t="shared" si="7"/>
        <v>60.445</v>
      </c>
    </row>
    <row r="18" spans="1:11" ht="12.75">
      <c r="A18" s="81">
        <v>8</v>
      </c>
      <c r="B18" s="81" t="s">
        <v>141</v>
      </c>
      <c r="C18" s="81">
        <v>0.5</v>
      </c>
      <c r="D18" s="149">
        <v>55</v>
      </c>
      <c r="E18" s="161">
        <f t="shared" si="1"/>
        <v>27.5</v>
      </c>
      <c r="F18" s="161">
        <f t="shared" si="2"/>
        <v>2.75</v>
      </c>
      <c r="G18" s="161">
        <f t="shared" si="3"/>
        <v>0.8751</v>
      </c>
      <c r="H18" s="161">
        <f t="shared" si="4"/>
        <v>1.2375</v>
      </c>
      <c r="I18" s="161">
        <f t="shared" si="5"/>
        <v>1.485</v>
      </c>
      <c r="J18" s="161">
        <f t="shared" si="6"/>
        <v>23.8749</v>
      </c>
      <c r="K18" s="162">
        <f t="shared" si="7"/>
        <v>30.2225</v>
      </c>
    </row>
    <row r="19" spans="1:11" s="62" customFormat="1" ht="12.75">
      <c r="A19" s="163"/>
      <c r="B19" s="164" t="s">
        <v>0</v>
      </c>
      <c r="C19" s="163">
        <f aca="true" t="shared" si="8" ref="C19:K19">SUM(C10:C18)</f>
        <v>23</v>
      </c>
      <c r="D19" s="162">
        <f t="shared" si="8"/>
        <v>435</v>
      </c>
      <c r="E19" s="162">
        <f t="shared" si="8"/>
        <v>1235</v>
      </c>
      <c r="F19" s="162">
        <f t="shared" si="8"/>
        <v>123.5</v>
      </c>
      <c r="G19" s="162">
        <f t="shared" si="8"/>
        <v>98.35079999999999</v>
      </c>
      <c r="H19" s="162">
        <f t="shared" si="8"/>
        <v>55.575</v>
      </c>
      <c r="I19" s="162">
        <f t="shared" si="8"/>
        <v>66.69</v>
      </c>
      <c r="J19" s="162">
        <f t="shared" si="8"/>
        <v>1013.1492</v>
      </c>
      <c r="K19" s="162">
        <f t="shared" si="8"/>
        <v>1357.2649999999999</v>
      </c>
    </row>
    <row r="20" spans="1:11" s="62" customFormat="1" ht="12.75">
      <c r="A20" s="147"/>
      <c r="B20" s="147" t="s">
        <v>113</v>
      </c>
      <c r="C20" s="147"/>
      <c r="D20" s="148"/>
      <c r="E20" s="148"/>
      <c r="F20" s="148"/>
      <c r="G20" s="148"/>
      <c r="H20" s="148"/>
      <c r="I20" s="148"/>
      <c r="J20" s="148"/>
      <c r="K20" s="148"/>
    </row>
    <row r="21" spans="1:11" ht="12.75">
      <c r="A21" s="81">
        <v>1</v>
      </c>
      <c r="B21" s="81" t="s">
        <v>138</v>
      </c>
      <c r="C21" s="81">
        <v>2</v>
      </c>
      <c r="D21" s="149">
        <v>50</v>
      </c>
      <c r="E21" s="161">
        <f aca="true" t="shared" si="9" ref="E21:E26">C21*D21</f>
        <v>100</v>
      </c>
      <c r="F21" s="161">
        <f aca="true" t="shared" si="10" ref="F21:F26">E21*$C$37</f>
        <v>10</v>
      </c>
      <c r="G21" s="161">
        <f aca="true" t="shared" si="11" ref="G21:G26">(E21-$C$41-F21)*$C$39</f>
        <v>7.400100000000001</v>
      </c>
      <c r="H21" s="161">
        <f aca="true" t="shared" si="12" ref="H21:H26">(E21-F21)*$C$38</f>
        <v>4.5</v>
      </c>
      <c r="I21" s="161">
        <f aca="true" t="shared" si="13" ref="I21:I26">(E21-F21)*$C$40-H21</f>
        <v>5.4</v>
      </c>
      <c r="J21" s="161">
        <f aca="true" t="shared" si="14" ref="J21:J26">E21-F21-G21</f>
        <v>82.5999</v>
      </c>
      <c r="K21" s="162">
        <f aca="true" t="shared" si="15" ref="K21:K26">SUM(F21:J21)</f>
        <v>109.9</v>
      </c>
    </row>
    <row r="22" spans="1:11" ht="12.75">
      <c r="A22" s="81">
        <v>2</v>
      </c>
      <c r="B22" s="81" t="s">
        <v>155</v>
      </c>
      <c r="C22" s="81">
        <v>2</v>
      </c>
      <c r="D22" s="149">
        <v>35</v>
      </c>
      <c r="E22" s="161">
        <f t="shared" si="9"/>
        <v>70</v>
      </c>
      <c r="F22" s="161">
        <f t="shared" si="10"/>
        <v>7</v>
      </c>
      <c r="G22" s="161">
        <f t="shared" si="11"/>
        <v>4.7001</v>
      </c>
      <c r="H22" s="161">
        <f t="shared" si="12"/>
        <v>3.1500000000000004</v>
      </c>
      <c r="I22" s="161">
        <f t="shared" si="13"/>
        <v>3.7799999999999994</v>
      </c>
      <c r="J22" s="161">
        <f t="shared" si="14"/>
        <v>58.2999</v>
      </c>
      <c r="K22" s="162">
        <f t="shared" si="15"/>
        <v>76.93</v>
      </c>
    </row>
    <row r="23" spans="1:11" ht="12.75">
      <c r="A23" s="81">
        <v>3</v>
      </c>
      <c r="B23" s="81" t="s">
        <v>156</v>
      </c>
      <c r="C23" s="81">
        <v>1</v>
      </c>
      <c r="D23" s="149">
        <v>40</v>
      </c>
      <c r="E23" s="161">
        <f t="shared" si="9"/>
        <v>40</v>
      </c>
      <c r="F23" s="161">
        <f t="shared" si="10"/>
        <v>4</v>
      </c>
      <c r="G23" s="161">
        <f t="shared" si="11"/>
        <v>2.0000999999999998</v>
      </c>
      <c r="H23" s="161">
        <f t="shared" si="12"/>
        <v>1.8</v>
      </c>
      <c r="I23" s="161">
        <f t="shared" si="13"/>
        <v>2.16</v>
      </c>
      <c r="J23" s="161">
        <f t="shared" si="14"/>
        <v>33.9999</v>
      </c>
      <c r="K23" s="162">
        <f t="shared" si="15"/>
        <v>43.959999999999994</v>
      </c>
    </row>
    <row r="24" spans="1:11" ht="12.75">
      <c r="A24" s="81">
        <v>4</v>
      </c>
      <c r="B24" s="81" t="s">
        <v>140</v>
      </c>
      <c r="C24" s="81">
        <v>1</v>
      </c>
      <c r="D24" s="149">
        <v>40</v>
      </c>
      <c r="E24" s="161">
        <f t="shared" si="9"/>
        <v>40</v>
      </c>
      <c r="F24" s="161">
        <f t="shared" si="10"/>
        <v>4</v>
      </c>
      <c r="G24" s="161">
        <f t="shared" si="11"/>
        <v>2.0000999999999998</v>
      </c>
      <c r="H24" s="161">
        <f t="shared" si="12"/>
        <v>1.8</v>
      </c>
      <c r="I24" s="161">
        <f t="shared" si="13"/>
        <v>2.16</v>
      </c>
      <c r="J24" s="161">
        <f t="shared" si="14"/>
        <v>33.9999</v>
      </c>
      <c r="K24" s="162">
        <f t="shared" si="15"/>
        <v>43.959999999999994</v>
      </c>
    </row>
    <row r="25" spans="1:11" ht="12.75">
      <c r="A25" s="81">
        <v>5</v>
      </c>
      <c r="B25" s="81" t="s">
        <v>157</v>
      </c>
      <c r="C25" s="81">
        <v>2</v>
      </c>
      <c r="D25" s="149">
        <v>35</v>
      </c>
      <c r="E25" s="161">
        <f t="shared" si="9"/>
        <v>70</v>
      </c>
      <c r="F25" s="161">
        <f t="shared" si="10"/>
        <v>7</v>
      </c>
      <c r="G25" s="161">
        <f t="shared" si="11"/>
        <v>4.7001</v>
      </c>
      <c r="H25" s="161">
        <f t="shared" si="12"/>
        <v>3.1500000000000004</v>
      </c>
      <c r="I25" s="161">
        <f t="shared" si="13"/>
        <v>3.7799999999999994</v>
      </c>
      <c r="J25" s="161">
        <f t="shared" si="14"/>
        <v>58.2999</v>
      </c>
      <c r="K25" s="162">
        <f t="shared" si="15"/>
        <v>76.93</v>
      </c>
    </row>
    <row r="26" spans="1:11" ht="12.75">
      <c r="A26" s="81">
        <v>6</v>
      </c>
      <c r="B26" s="81" t="s">
        <v>158</v>
      </c>
      <c r="C26" s="81">
        <v>2</v>
      </c>
      <c r="D26" s="149">
        <v>35</v>
      </c>
      <c r="E26" s="161">
        <f t="shared" si="9"/>
        <v>70</v>
      </c>
      <c r="F26" s="161">
        <f t="shared" si="10"/>
        <v>7</v>
      </c>
      <c r="G26" s="161">
        <f t="shared" si="11"/>
        <v>4.7001</v>
      </c>
      <c r="H26" s="161">
        <f t="shared" si="12"/>
        <v>3.1500000000000004</v>
      </c>
      <c r="I26" s="161">
        <f t="shared" si="13"/>
        <v>3.7799999999999994</v>
      </c>
      <c r="J26" s="161">
        <f t="shared" si="14"/>
        <v>58.2999</v>
      </c>
      <c r="K26" s="162">
        <f t="shared" si="15"/>
        <v>76.93</v>
      </c>
    </row>
    <row r="27" spans="1:11" s="62" customFormat="1" ht="12.75">
      <c r="A27" s="163"/>
      <c r="B27" s="164" t="s">
        <v>0</v>
      </c>
      <c r="C27" s="163">
        <f aca="true" t="shared" si="16" ref="C27:K27">SUM(C21:C26)</f>
        <v>10</v>
      </c>
      <c r="D27" s="162">
        <f t="shared" si="16"/>
        <v>235</v>
      </c>
      <c r="E27" s="162">
        <f t="shared" si="16"/>
        <v>390</v>
      </c>
      <c r="F27" s="162">
        <f t="shared" si="16"/>
        <v>39</v>
      </c>
      <c r="G27" s="162">
        <f t="shared" si="16"/>
        <v>25.5006</v>
      </c>
      <c r="H27" s="162">
        <f t="shared" si="16"/>
        <v>17.550000000000004</v>
      </c>
      <c r="I27" s="162">
        <f t="shared" si="16"/>
        <v>21.060000000000002</v>
      </c>
      <c r="J27" s="162">
        <f t="shared" si="16"/>
        <v>325.4994</v>
      </c>
      <c r="K27" s="162">
        <f t="shared" si="16"/>
        <v>428.61</v>
      </c>
    </row>
    <row r="28" spans="1:11" s="62" customFormat="1" ht="12.75">
      <c r="A28" s="147"/>
      <c r="B28" s="147" t="s">
        <v>139</v>
      </c>
      <c r="C28" s="147"/>
      <c r="D28" s="148"/>
      <c r="E28" s="148"/>
      <c r="F28" s="148"/>
      <c r="G28" s="148"/>
      <c r="H28" s="148"/>
      <c r="I28" s="148"/>
      <c r="J28" s="148"/>
      <c r="K28" s="148"/>
    </row>
    <row r="29" spans="1:13" ht="12.75">
      <c r="A29" s="81">
        <v>1</v>
      </c>
      <c r="B29" s="81" t="s">
        <v>159</v>
      </c>
      <c r="C29" s="81">
        <f>1*3</f>
        <v>3</v>
      </c>
      <c r="D29" s="149">
        <v>35</v>
      </c>
      <c r="E29" s="161">
        <f>C29*D29</f>
        <v>105</v>
      </c>
      <c r="F29" s="161">
        <f>E29*$C$37</f>
        <v>10.5</v>
      </c>
      <c r="G29" s="161">
        <f>(E29-$C$41-F29)*$C$39</f>
        <v>7.850100000000001</v>
      </c>
      <c r="H29" s="161">
        <f>(E29-F29)*$C$38</f>
        <v>4.7250000000000005</v>
      </c>
      <c r="I29" s="161">
        <f>(E29-F29)*$C$40-H29</f>
        <v>5.669999999999999</v>
      </c>
      <c r="J29" s="161">
        <f>E29-F29-G29</f>
        <v>86.6499</v>
      </c>
      <c r="K29" s="162">
        <f>SUM(F29:J29)</f>
        <v>115.39500000000001</v>
      </c>
      <c r="M29" s="165"/>
    </row>
    <row r="30" spans="1:13" ht="12.75">
      <c r="A30" s="81">
        <v>2</v>
      </c>
      <c r="B30" s="81" t="s">
        <v>162</v>
      </c>
      <c r="C30" s="81">
        <v>1</v>
      </c>
      <c r="D30" s="149">
        <v>40</v>
      </c>
      <c r="E30" s="161">
        <f>C30*D30</f>
        <v>40</v>
      </c>
      <c r="F30" s="161">
        <f>E30*$C$37</f>
        <v>4</v>
      </c>
      <c r="G30" s="161">
        <f>(E30-$C$41-F30)*$C$39</f>
        <v>2.0000999999999998</v>
      </c>
      <c r="H30" s="161">
        <f>(E30-F30)*$C$38</f>
        <v>1.8</v>
      </c>
      <c r="I30" s="161">
        <f>(E30-F30)*$C$40-H30</f>
        <v>2.16</v>
      </c>
      <c r="J30" s="161">
        <f>E30-F30-G30</f>
        <v>33.9999</v>
      </c>
      <c r="K30" s="162">
        <f>SUM(F30:J30)</f>
        <v>43.959999999999994</v>
      </c>
      <c r="M30" s="165"/>
    </row>
    <row r="31" spans="1:13" ht="12.75">
      <c r="A31" s="81">
        <v>3</v>
      </c>
      <c r="B31" s="81" t="s">
        <v>163</v>
      </c>
      <c r="C31" s="81">
        <v>1</v>
      </c>
      <c r="D31" s="149">
        <v>40</v>
      </c>
      <c r="E31" s="161">
        <f>C31*D31</f>
        <v>40</v>
      </c>
      <c r="F31" s="161">
        <f>E31*$C$37</f>
        <v>4</v>
      </c>
      <c r="G31" s="161">
        <f>(E31-$C$41-F31)*$C$39</f>
        <v>2.0000999999999998</v>
      </c>
      <c r="H31" s="161">
        <f>(E31-F31)*$C$38</f>
        <v>1.8</v>
      </c>
      <c r="I31" s="161">
        <f>(E31-F31)*$C$40-H31</f>
        <v>2.16</v>
      </c>
      <c r="J31" s="161">
        <f>E31-F31-G31</f>
        <v>33.9999</v>
      </c>
      <c r="K31" s="162">
        <f>SUM(F31:J31)</f>
        <v>43.959999999999994</v>
      </c>
      <c r="M31" s="165"/>
    </row>
    <row r="32" spans="1:11" ht="12.75">
      <c r="A32" s="81">
        <v>4</v>
      </c>
      <c r="B32" s="81" t="s">
        <v>164</v>
      </c>
      <c r="C32" s="81">
        <v>1</v>
      </c>
      <c r="D32" s="149">
        <v>40</v>
      </c>
      <c r="E32" s="161">
        <f>C32*D32</f>
        <v>40</v>
      </c>
      <c r="F32" s="161">
        <f>E32*$C$37</f>
        <v>4</v>
      </c>
      <c r="G32" s="161">
        <f>(E32-$C$41-F32)*$C$39</f>
        <v>2.0000999999999998</v>
      </c>
      <c r="H32" s="161">
        <f>(E32-F32)*$C$38</f>
        <v>1.8</v>
      </c>
      <c r="I32" s="161">
        <f>(E32-F32)*$C$40-H32</f>
        <v>2.16</v>
      </c>
      <c r="J32" s="161">
        <f>E32-F32-G32</f>
        <v>33.9999</v>
      </c>
      <c r="K32" s="162">
        <f>SUM(F32:J32)</f>
        <v>43.959999999999994</v>
      </c>
    </row>
    <row r="33" spans="1:11" s="62" customFormat="1" ht="12.75">
      <c r="A33" s="163"/>
      <c r="B33" s="164" t="s">
        <v>0</v>
      </c>
      <c r="C33" s="163">
        <f aca="true" t="shared" si="17" ref="C33:K33">SUM(C29:C32)</f>
        <v>6</v>
      </c>
      <c r="D33" s="162">
        <f t="shared" si="17"/>
        <v>155</v>
      </c>
      <c r="E33" s="162">
        <f t="shared" si="17"/>
        <v>225</v>
      </c>
      <c r="F33" s="162">
        <f t="shared" si="17"/>
        <v>22.5</v>
      </c>
      <c r="G33" s="162">
        <f t="shared" si="17"/>
        <v>13.8504</v>
      </c>
      <c r="H33" s="162">
        <f t="shared" si="17"/>
        <v>10.125000000000002</v>
      </c>
      <c r="I33" s="162">
        <f t="shared" si="17"/>
        <v>12.149999999999999</v>
      </c>
      <c r="J33" s="162">
        <f t="shared" si="17"/>
        <v>188.6496</v>
      </c>
      <c r="K33" s="162">
        <f t="shared" si="17"/>
        <v>247.27499999999998</v>
      </c>
    </row>
    <row r="34" spans="1:11" ht="12.75">
      <c r="A34" s="81"/>
      <c r="B34" s="81"/>
      <c r="C34" s="81"/>
      <c r="D34" s="161"/>
      <c r="E34" s="161"/>
      <c r="F34" s="161"/>
      <c r="G34" s="161"/>
      <c r="H34" s="161"/>
      <c r="I34" s="161"/>
      <c r="J34" s="161"/>
      <c r="K34" s="161"/>
    </row>
    <row r="35" spans="1:11" s="62" customFormat="1" ht="12.75">
      <c r="A35" s="163"/>
      <c r="B35" s="163" t="s">
        <v>143</v>
      </c>
      <c r="C35" s="162">
        <f aca="true" t="shared" si="18" ref="C35:K35">C9+C19+C27+C33</f>
        <v>42</v>
      </c>
      <c r="D35" s="162">
        <f t="shared" si="18"/>
        <v>1035</v>
      </c>
      <c r="E35" s="162">
        <f t="shared" si="18"/>
        <v>2060</v>
      </c>
      <c r="F35" s="162">
        <f t="shared" si="18"/>
        <v>206</v>
      </c>
      <c r="G35" s="162">
        <f t="shared" si="18"/>
        <v>151.8021</v>
      </c>
      <c r="H35" s="162">
        <f t="shared" si="18"/>
        <v>92.70000000000002</v>
      </c>
      <c r="I35" s="162">
        <f t="shared" si="18"/>
        <v>111.24000000000001</v>
      </c>
      <c r="J35" s="162">
        <f t="shared" si="18"/>
        <v>1702.1979</v>
      </c>
      <c r="K35" s="166">
        <f t="shared" si="18"/>
        <v>2263.94</v>
      </c>
    </row>
    <row r="37" spans="2:10" ht="12.75">
      <c r="B37" s="81" t="s">
        <v>52</v>
      </c>
      <c r="C37" s="167">
        <f>Исх!C11</f>
        <v>0.1</v>
      </c>
      <c r="D37" s="168"/>
      <c r="E37" s="168"/>
      <c r="F37" s="168"/>
      <c r="G37" s="286"/>
      <c r="H37" s="286"/>
      <c r="I37" s="286"/>
      <c r="J37" s="286"/>
    </row>
    <row r="38" spans="2:10" ht="12.75">
      <c r="B38" s="81" t="s">
        <v>57</v>
      </c>
      <c r="C38" s="167">
        <f>Исх!C12</f>
        <v>0.05</v>
      </c>
      <c r="D38" s="168"/>
      <c r="E38" s="168"/>
      <c r="F38" s="168"/>
      <c r="G38" s="168"/>
      <c r="H38" s="168"/>
      <c r="I38" s="169"/>
      <c r="J38" s="170"/>
    </row>
    <row r="39" spans="2:10" ht="12.75">
      <c r="B39" s="81" t="s">
        <v>53</v>
      </c>
      <c r="C39" s="167">
        <f>Исх!C13</f>
        <v>0.1</v>
      </c>
      <c r="D39" s="168"/>
      <c r="E39" s="168"/>
      <c r="F39" s="168"/>
      <c r="G39" s="168"/>
      <c r="H39" s="168"/>
      <c r="I39" s="169"/>
      <c r="J39" s="170"/>
    </row>
    <row r="40" spans="2:10" ht="12.75">
      <c r="B40" s="81" t="s">
        <v>55</v>
      </c>
      <c r="C40" s="167">
        <f>Исх!C14</f>
        <v>0.11</v>
      </c>
      <c r="D40" s="171"/>
      <c r="E40" s="171"/>
      <c r="F40" s="168"/>
      <c r="G40" s="168"/>
      <c r="H40" s="168"/>
      <c r="I40" s="169"/>
      <c r="J40" s="170"/>
    </row>
    <row r="41" spans="2:3" ht="12.75">
      <c r="B41" s="81" t="s">
        <v>150</v>
      </c>
      <c r="C41" s="172">
        <f>Исх!C15</f>
        <v>15.999</v>
      </c>
    </row>
    <row r="42" spans="7:10" ht="12.75">
      <c r="G42" s="168"/>
      <c r="H42" s="168"/>
      <c r="I42" s="169"/>
      <c r="J42" s="170"/>
    </row>
  </sheetData>
  <sheetProtection/>
  <mergeCells count="1">
    <mergeCell ref="G37:J37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I13" sqref="I13"/>
    </sheetView>
  </sheetViews>
  <sheetFormatPr defaultColWidth="8.875" defaultRowHeight="12.75" outlineLevelRow="1"/>
  <cols>
    <col min="1" max="1" width="33.625" style="78" customWidth="1"/>
    <col min="2" max="2" width="10.75390625" style="78" customWidth="1"/>
    <col min="3" max="9" width="8.375" style="78" customWidth="1"/>
    <col min="10" max="10" width="35.375" style="78" customWidth="1"/>
    <col min="11" max="16384" width="8.875" style="78" customWidth="1"/>
  </cols>
  <sheetData>
    <row r="1" ht="12.75">
      <c r="A1" s="62" t="s">
        <v>213</v>
      </c>
    </row>
    <row r="2" ht="12.75">
      <c r="A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9" ht="12.75">
      <c r="A4" s="78" t="s">
        <v>47</v>
      </c>
      <c r="C4" s="144"/>
      <c r="D4" s="144"/>
      <c r="E4" s="144"/>
      <c r="F4" s="144"/>
      <c r="G4" s="144"/>
      <c r="H4" s="144"/>
      <c r="I4" s="152" t="str">
        <f>Исх!C9</f>
        <v>тыс.тг.</v>
      </c>
    </row>
    <row r="5" spans="1:9" ht="12.75">
      <c r="A5" s="235" t="s">
        <v>48</v>
      </c>
      <c r="B5" s="264"/>
      <c r="C5" s="264">
        <v>2012</v>
      </c>
      <c r="D5" s="264">
        <v>2013</v>
      </c>
      <c r="E5" s="264">
        <f>D5+1</f>
        <v>2014</v>
      </c>
      <c r="F5" s="264">
        <f>E5+1</f>
        <v>2015</v>
      </c>
      <c r="G5" s="264">
        <f>F5+1</f>
        <v>2016</v>
      </c>
      <c r="H5" s="264">
        <f>G5+1</f>
        <v>2017</v>
      </c>
      <c r="I5" s="264">
        <f>H5+1</f>
        <v>2018</v>
      </c>
    </row>
    <row r="6" spans="1:9" ht="12.75">
      <c r="A6" s="81" t="s">
        <v>49</v>
      </c>
      <c r="B6" s="150"/>
      <c r="C6" s="161">
        <f>ФОТ!K35</f>
        <v>2263.94</v>
      </c>
      <c r="D6" s="161">
        <f>ФОТ!$K$35-ФОТ!$K$12-ФОТ!$K$13+ФОТ!$K$12/ФОТ!$C$12*2*Дох!D6+ФОТ!$K$13/ФОТ!$C$13*1*Дох!D6</f>
        <v>2263.94</v>
      </c>
      <c r="E6" s="161">
        <f>ФОТ!$K$35-ФОТ!$K$12-ФОТ!$K$13+ФОТ!$K$12/ФОТ!$C$12*2*Дох!E6+ФОТ!$K$13/ФОТ!$C$13*1*Дох!E6</f>
        <v>2263.94</v>
      </c>
      <c r="F6" s="161">
        <f aca="true" t="shared" si="0" ref="D6:I18">E6+E6*$D$3</f>
        <v>2263.94</v>
      </c>
      <c r="G6" s="161">
        <f t="shared" si="0"/>
        <v>2263.94</v>
      </c>
      <c r="H6" s="161">
        <f t="shared" si="0"/>
        <v>2263.94</v>
      </c>
      <c r="I6" s="161">
        <f t="shared" si="0"/>
        <v>2263.94</v>
      </c>
    </row>
    <row r="7" spans="1:9" ht="12.75">
      <c r="A7" s="81" t="s">
        <v>115</v>
      </c>
      <c r="B7" s="150"/>
      <c r="C7" s="149">
        <v>10</v>
      </c>
      <c r="D7" s="161">
        <f aca="true" t="shared" si="1" ref="D7:I8">C7+C7*$D$3</f>
        <v>10</v>
      </c>
      <c r="E7" s="161">
        <f t="shared" si="1"/>
        <v>10</v>
      </c>
      <c r="F7" s="161">
        <f t="shared" si="1"/>
        <v>10</v>
      </c>
      <c r="G7" s="161">
        <f t="shared" si="1"/>
        <v>10</v>
      </c>
      <c r="H7" s="161">
        <f t="shared" si="1"/>
        <v>10</v>
      </c>
      <c r="I7" s="161">
        <f t="shared" si="1"/>
        <v>10</v>
      </c>
    </row>
    <row r="8" spans="1:10" ht="25.5">
      <c r="A8" s="174" t="s">
        <v>237</v>
      </c>
      <c r="B8" s="261" t="s">
        <v>311</v>
      </c>
      <c r="C8" s="149">
        <f>120*4.5*1607/1000</f>
        <v>867.78</v>
      </c>
      <c r="D8" s="161">
        <f t="shared" si="1"/>
        <v>867.78</v>
      </c>
      <c r="E8" s="161">
        <f t="shared" si="1"/>
        <v>867.78</v>
      </c>
      <c r="F8" s="161">
        <f t="shared" si="1"/>
        <v>867.78</v>
      </c>
      <c r="G8" s="161">
        <f t="shared" si="1"/>
        <v>867.78</v>
      </c>
      <c r="H8" s="161">
        <f t="shared" si="1"/>
        <v>867.78</v>
      </c>
      <c r="I8" s="161">
        <f t="shared" si="1"/>
        <v>867.78</v>
      </c>
      <c r="J8" s="266" t="s">
        <v>312</v>
      </c>
    </row>
    <row r="9" spans="1:9" ht="12.75">
      <c r="A9" s="174" t="s">
        <v>121</v>
      </c>
      <c r="B9" s="150"/>
      <c r="C9" s="149">
        <v>20</v>
      </c>
      <c r="D9" s="161">
        <f t="shared" si="0"/>
        <v>20</v>
      </c>
      <c r="E9" s="161">
        <f t="shared" si="0"/>
        <v>20</v>
      </c>
      <c r="F9" s="161">
        <f t="shared" si="0"/>
        <v>20</v>
      </c>
      <c r="G9" s="161">
        <f t="shared" si="0"/>
        <v>20</v>
      </c>
      <c r="H9" s="161">
        <f t="shared" si="0"/>
        <v>20</v>
      </c>
      <c r="I9" s="161">
        <f t="shared" si="0"/>
        <v>20</v>
      </c>
    </row>
    <row r="10" spans="1:9" ht="12.75">
      <c r="A10" s="174" t="s">
        <v>166</v>
      </c>
      <c r="B10" s="150"/>
      <c r="C10" s="149">
        <v>40</v>
      </c>
      <c r="D10" s="161">
        <f aca="true" t="shared" si="2" ref="D10:I10">C10+C10*$D$3</f>
        <v>40</v>
      </c>
      <c r="E10" s="161">
        <f t="shared" si="2"/>
        <v>40</v>
      </c>
      <c r="F10" s="161">
        <f t="shared" si="2"/>
        <v>40</v>
      </c>
      <c r="G10" s="161">
        <f t="shared" si="2"/>
        <v>40</v>
      </c>
      <c r="H10" s="161">
        <f t="shared" si="2"/>
        <v>40</v>
      </c>
      <c r="I10" s="161">
        <f t="shared" si="2"/>
        <v>40</v>
      </c>
    </row>
    <row r="11" spans="1:10" ht="25.5">
      <c r="A11" s="174" t="s">
        <v>165</v>
      </c>
      <c r="B11" s="261" t="s">
        <v>291</v>
      </c>
      <c r="C11" s="149">
        <f>100*(56.48+40.88)/1000</f>
        <v>9.736</v>
      </c>
      <c r="D11" s="161">
        <f t="shared" si="0"/>
        <v>9.736</v>
      </c>
      <c r="E11" s="161">
        <f t="shared" si="0"/>
        <v>9.736</v>
      </c>
      <c r="F11" s="161">
        <f t="shared" si="0"/>
        <v>9.736</v>
      </c>
      <c r="G11" s="161">
        <f t="shared" si="0"/>
        <v>9.736</v>
      </c>
      <c r="H11" s="161">
        <f t="shared" si="0"/>
        <v>9.736</v>
      </c>
      <c r="I11" s="161">
        <f t="shared" si="0"/>
        <v>9.736</v>
      </c>
      <c r="J11" s="266" t="s">
        <v>290</v>
      </c>
    </row>
    <row r="12" spans="1:9" ht="12.75">
      <c r="A12" s="174" t="s">
        <v>144</v>
      </c>
      <c r="B12" s="150"/>
      <c r="C12" s="149">
        <v>28</v>
      </c>
      <c r="D12" s="161">
        <f t="shared" si="0"/>
        <v>28</v>
      </c>
      <c r="E12" s="161">
        <f t="shared" si="0"/>
        <v>28</v>
      </c>
      <c r="F12" s="161">
        <f t="shared" si="0"/>
        <v>28</v>
      </c>
      <c r="G12" s="161">
        <f t="shared" si="0"/>
        <v>28</v>
      </c>
      <c r="H12" s="161">
        <f t="shared" si="0"/>
        <v>28</v>
      </c>
      <c r="I12" s="161">
        <f t="shared" si="0"/>
        <v>28</v>
      </c>
    </row>
    <row r="13" spans="1:9" ht="12.75">
      <c r="A13" s="174" t="s">
        <v>167</v>
      </c>
      <c r="B13" s="261" t="s">
        <v>297</v>
      </c>
      <c r="C13" s="149">
        <v>17</v>
      </c>
      <c r="D13" s="161">
        <f aca="true" t="shared" si="3" ref="D13:I13">C13+C13*$D$3</f>
        <v>17</v>
      </c>
      <c r="E13" s="161">
        <f t="shared" si="3"/>
        <v>17</v>
      </c>
      <c r="F13" s="161">
        <f t="shared" si="3"/>
        <v>17</v>
      </c>
      <c r="G13" s="161">
        <f t="shared" si="3"/>
        <v>17</v>
      </c>
      <c r="H13" s="161">
        <f t="shared" si="3"/>
        <v>17</v>
      </c>
      <c r="I13" s="161">
        <f t="shared" si="3"/>
        <v>17</v>
      </c>
    </row>
    <row r="14" spans="1:9" ht="12.75">
      <c r="A14" s="174" t="s">
        <v>145</v>
      </c>
      <c r="B14" s="150"/>
      <c r="C14" s="149">
        <v>10</v>
      </c>
      <c r="D14" s="161">
        <f t="shared" si="0"/>
        <v>10</v>
      </c>
      <c r="E14" s="161">
        <f t="shared" si="0"/>
        <v>10</v>
      </c>
      <c r="F14" s="161">
        <f t="shared" si="0"/>
        <v>10</v>
      </c>
      <c r="G14" s="161">
        <f t="shared" si="0"/>
        <v>10</v>
      </c>
      <c r="H14" s="161">
        <f t="shared" si="0"/>
        <v>10</v>
      </c>
      <c r="I14" s="161">
        <f t="shared" si="0"/>
        <v>10</v>
      </c>
    </row>
    <row r="15" spans="1:9" ht="12.75">
      <c r="A15" s="81" t="s">
        <v>50</v>
      </c>
      <c r="B15" s="150"/>
      <c r="C15" s="149">
        <v>5</v>
      </c>
      <c r="D15" s="161">
        <f t="shared" si="0"/>
        <v>5</v>
      </c>
      <c r="E15" s="161">
        <f t="shared" si="0"/>
        <v>5</v>
      </c>
      <c r="F15" s="161">
        <f t="shared" si="0"/>
        <v>5</v>
      </c>
      <c r="G15" s="161">
        <f t="shared" si="0"/>
        <v>5</v>
      </c>
      <c r="H15" s="161">
        <f t="shared" si="0"/>
        <v>5</v>
      </c>
      <c r="I15" s="161">
        <f t="shared" si="0"/>
        <v>5</v>
      </c>
    </row>
    <row r="16" spans="1:9" ht="12.75">
      <c r="A16" s="81" t="s">
        <v>114</v>
      </c>
      <c r="B16" s="150"/>
      <c r="C16" s="149">
        <v>15</v>
      </c>
      <c r="D16" s="161">
        <f t="shared" si="0"/>
        <v>15</v>
      </c>
      <c r="E16" s="161">
        <f t="shared" si="0"/>
        <v>15</v>
      </c>
      <c r="F16" s="161">
        <f t="shared" si="0"/>
        <v>15</v>
      </c>
      <c r="G16" s="161">
        <f t="shared" si="0"/>
        <v>15</v>
      </c>
      <c r="H16" s="161">
        <f t="shared" si="0"/>
        <v>15</v>
      </c>
      <c r="I16" s="161">
        <f t="shared" si="0"/>
        <v>15</v>
      </c>
    </row>
    <row r="17" spans="1:9" ht="12.75">
      <c r="A17" s="81" t="s">
        <v>86</v>
      </c>
      <c r="B17" s="150"/>
      <c r="C17" s="149">
        <v>15</v>
      </c>
      <c r="D17" s="161">
        <f t="shared" si="0"/>
        <v>15</v>
      </c>
      <c r="E17" s="161">
        <f t="shared" si="0"/>
        <v>15</v>
      </c>
      <c r="F17" s="161">
        <f t="shared" si="0"/>
        <v>15</v>
      </c>
      <c r="G17" s="161">
        <f t="shared" si="0"/>
        <v>15</v>
      </c>
      <c r="H17" s="161">
        <f t="shared" si="0"/>
        <v>15</v>
      </c>
      <c r="I17" s="161">
        <f t="shared" si="0"/>
        <v>15</v>
      </c>
    </row>
    <row r="18" spans="1:9" ht="12.75">
      <c r="A18" s="81" t="s">
        <v>51</v>
      </c>
      <c r="B18" s="161"/>
      <c r="C18" s="149">
        <v>15</v>
      </c>
      <c r="D18" s="161">
        <f t="shared" si="0"/>
        <v>15</v>
      </c>
      <c r="E18" s="161">
        <f t="shared" si="0"/>
        <v>15</v>
      </c>
      <c r="F18" s="161">
        <f t="shared" si="0"/>
        <v>15</v>
      </c>
      <c r="G18" s="161">
        <f t="shared" si="0"/>
        <v>15</v>
      </c>
      <c r="H18" s="161">
        <f t="shared" si="0"/>
        <v>15</v>
      </c>
      <c r="I18" s="161">
        <f t="shared" si="0"/>
        <v>15</v>
      </c>
    </row>
    <row r="19" spans="1:9" ht="12.75">
      <c r="A19" s="235" t="s">
        <v>0</v>
      </c>
      <c r="B19" s="236"/>
      <c r="C19" s="236">
        <f aca="true" t="shared" si="4" ref="C19:I19">SUM(C6:C18)</f>
        <v>3316.456</v>
      </c>
      <c r="D19" s="236">
        <f t="shared" si="4"/>
        <v>3316.456</v>
      </c>
      <c r="E19" s="236">
        <f t="shared" si="4"/>
        <v>3316.456</v>
      </c>
      <c r="F19" s="236">
        <f t="shared" si="4"/>
        <v>3316.456</v>
      </c>
      <c r="G19" s="236">
        <f t="shared" si="4"/>
        <v>3316.456</v>
      </c>
      <c r="H19" s="236">
        <f t="shared" si="4"/>
        <v>3316.456</v>
      </c>
      <c r="I19" s="236">
        <f t="shared" si="4"/>
        <v>3316.456</v>
      </c>
    </row>
    <row r="21" spans="1:9" ht="12.75">
      <c r="A21" s="62" t="s">
        <v>87</v>
      </c>
      <c r="C21" s="176">
        <f aca="true" t="shared" si="5" ref="C21:I21">SUM(C22:C22)</f>
        <v>2.2639400000000003</v>
      </c>
      <c r="D21" s="176">
        <f t="shared" si="5"/>
        <v>2.2639400000000003</v>
      </c>
      <c r="E21" s="176">
        <f t="shared" si="5"/>
        <v>2.2639400000000003</v>
      </c>
      <c r="F21" s="176">
        <f t="shared" si="5"/>
        <v>2.2639400000000003</v>
      </c>
      <c r="G21" s="176">
        <f t="shared" si="5"/>
        <v>2.2639400000000003</v>
      </c>
      <c r="H21" s="176">
        <f t="shared" si="5"/>
        <v>2.2639400000000003</v>
      </c>
      <c r="I21" s="176">
        <f t="shared" si="5"/>
        <v>2.2639400000000003</v>
      </c>
    </row>
    <row r="22" spans="1:9" ht="25.5">
      <c r="A22" s="174" t="s">
        <v>88</v>
      </c>
      <c r="B22" s="177">
        <v>0.001</v>
      </c>
      <c r="C22" s="178">
        <f aca="true" t="shared" si="6" ref="C22:I22">C6*$B$22</f>
        <v>2.2639400000000003</v>
      </c>
      <c r="D22" s="178">
        <f t="shared" si="6"/>
        <v>2.2639400000000003</v>
      </c>
      <c r="E22" s="178">
        <f t="shared" si="6"/>
        <v>2.2639400000000003</v>
      </c>
      <c r="F22" s="178">
        <f t="shared" si="6"/>
        <v>2.2639400000000003</v>
      </c>
      <c r="G22" s="178">
        <f t="shared" si="6"/>
        <v>2.2639400000000003</v>
      </c>
      <c r="H22" s="178">
        <f t="shared" si="6"/>
        <v>2.2639400000000003</v>
      </c>
      <c r="I22" s="178">
        <f t="shared" si="6"/>
        <v>2.2639400000000003</v>
      </c>
    </row>
    <row r="24" spans="1:9" ht="12.75">
      <c r="A24" s="62" t="s">
        <v>89</v>
      </c>
      <c r="C24" s="179">
        <f aca="true" t="shared" si="7" ref="C24:I24">SUM(C25:C26)</f>
        <v>0</v>
      </c>
      <c r="D24" s="179">
        <f t="shared" si="7"/>
        <v>0</v>
      </c>
      <c r="E24" s="179">
        <f t="shared" si="7"/>
        <v>0</v>
      </c>
      <c r="F24" s="179">
        <f t="shared" si="7"/>
        <v>0</v>
      </c>
      <c r="G24" s="179">
        <f t="shared" si="7"/>
        <v>0</v>
      </c>
      <c r="H24" s="179">
        <f t="shared" si="7"/>
        <v>0</v>
      </c>
      <c r="I24" s="179">
        <f t="shared" si="7"/>
        <v>0</v>
      </c>
    </row>
    <row r="25" spans="1:9" ht="12.75">
      <c r="A25" s="81" t="s">
        <v>2</v>
      </c>
      <c r="B25" s="180">
        <f>Исх!C16</f>
        <v>0.01</v>
      </c>
      <c r="C25" s="161">
        <f>(C38+C41)/2*$B$25/12</f>
        <v>0</v>
      </c>
      <c r="D25" s="161">
        <f aca="true" t="shared" si="8" ref="D25:I25">(D38+D41)/2*$B$25/12</f>
        <v>0</v>
      </c>
      <c r="E25" s="161">
        <f t="shared" si="8"/>
        <v>0</v>
      </c>
      <c r="F25" s="161">
        <f t="shared" si="8"/>
        <v>0</v>
      </c>
      <c r="G25" s="161">
        <f t="shared" si="8"/>
        <v>0</v>
      </c>
      <c r="H25" s="161">
        <f t="shared" si="8"/>
        <v>0</v>
      </c>
      <c r="I25" s="161">
        <f t="shared" si="8"/>
        <v>0</v>
      </c>
    </row>
    <row r="26" spans="1:9" ht="12.75">
      <c r="A26" s="81" t="s">
        <v>116</v>
      </c>
      <c r="B26" s="81"/>
      <c r="C26" s="149"/>
      <c r="D26" s="161">
        <f aca="true" t="shared" si="9" ref="D26:I26">C26+C26*$D$3</f>
        <v>0</v>
      </c>
      <c r="E26" s="161">
        <f t="shared" si="9"/>
        <v>0</v>
      </c>
      <c r="F26" s="161">
        <f t="shared" si="9"/>
        <v>0</v>
      </c>
      <c r="G26" s="161">
        <f t="shared" si="9"/>
        <v>0</v>
      </c>
      <c r="H26" s="161">
        <f t="shared" si="9"/>
        <v>0</v>
      </c>
      <c r="I26" s="161">
        <f t="shared" si="9"/>
        <v>0</v>
      </c>
    </row>
    <row r="28" ht="12.75">
      <c r="C28" s="181"/>
    </row>
    <row r="29" spans="1:9" ht="12.75">
      <c r="A29" s="287" t="s">
        <v>90</v>
      </c>
      <c r="B29" s="287"/>
      <c r="C29" s="287"/>
      <c r="D29" s="287"/>
      <c r="E29" s="287"/>
      <c r="F29" s="288"/>
      <c r="G29" s="185"/>
      <c r="H29" s="185"/>
      <c r="I29" s="185"/>
    </row>
    <row r="30" spans="1:9" ht="12.75">
      <c r="A30" s="79" t="s">
        <v>96</v>
      </c>
      <c r="C30" s="146">
        <v>1</v>
      </c>
      <c r="D30" s="146">
        <f aca="true" t="shared" si="10" ref="D30:I30">C30+1</f>
        <v>2</v>
      </c>
      <c r="E30" s="146">
        <f t="shared" si="10"/>
        <v>3</v>
      </c>
      <c r="F30" s="146">
        <f t="shared" si="10"/>
        <v>4</v>
      </c>
      <c r="G30" s="186">
        <f t="shared" si="10"/>
        <v>5</v>
      </c>
      <c r="H30" s="186">
        <f t="shared" si="10"/>
        <v>6</v>
      </c>
      <c r="I30" s="186">
        <f t="shared" si="10"/>
        <v>7</v>
      </c>
    </row>
    <row r="31" spans="1:9" ht="12.75">
      <c r="A31" s="81" t="s">
        <v>91</v>
      </c>
      <c r="B31" s="182"/>
      <c r="C31" s="81"/>
      <c r="D31" s="81"/>
      <c r="E31" s="81"/>
      <c r="F31" s="81"/>
      <c r="G31" s="81"/>
      <c r="H31" s="81"/>
      <c r="I31" s="81"/>
    </row>
    <row r="32" spans="1:9" ht="12.75">
      <c r="A32" s="81" t="s">
        <v>92</v>
      </c>
      <c r="B32" s="183"/>
      <c r="C32" s="161">
        <f aca="true" t="shared" si="11" ref="C32:I34">C38+C44</f>
        <v>12486.09375</v>
      </c>
      <c r="D32" s="161">
        <f t="shared" si="11"/>
        <v>11237.484375</v>
      </c>
      <c r="E32" s="161">
        <f t="shared" si="11"/>
        <v>9988.875</v>
      </c>
      <c r="F32" s="161">
        <f t="shared" si="11"/>
        <v>8740.265625</v>
      </c>
      <c r="G32" s="161">
        <f t="shared" si="11"/>
        <v>7491.65625</v>
      </c>
      <c r="H32" s="161">
        <f t="shared" si="11"/>
        <v>6243.046875</v>
      </c>
      <c r="I32" s="161">
        <f t="shared" si="11"/>
        <v>4994.4375</v>
      </c>
    </row>
    <row r="33" spans="1:9" ht="12.75">
      <c r="A33" s="81" t="s">
        <v>93</v>
      </c>
      <c r="B33" s="183"/>
      <c r="C33" s="161">
        <f t="shared" si="11"/>
        <v>0</v>
      </c>
      <c r="D33" s="161">
        <f t="shared" si="11"/>
        <v>0</v>
      </c>
      <c r="E33" s="161">
        <f t="shared" si="11"/>
        <v>0</v>
      </c>
      <c r="F33" s="161">
        <f t="shared" si="11"/>
        <v>0</v>
      </c>
      <c r="G33" s="161">
        <f t="shared" si="11"/>
        <v>0</v>
      </c>
      <c r="H33" s="161">
        <f t="shared" si="11"/>
        <v>0</v>
      </c>
      <c r="I33" s="161">
        <f t="shared" si="11"/>
        <v>0</v>
      </c>
    </row>
    <row r="34" spans="1:9" ht="12.75">
      <c r="A34" s="163" t="s">
        <v>94</v>
      </c>
      <c r="B34" s="163"/>
      <c r="C34" s="162">
        <f t="shared" si="11"/>
        <v>1248.609375</v>
      </c>
      <c r="D34" s="162">
        <f t="shared" si="11"/>
        <v>1248.609375</v>
      </c>
      <c r="E34" s="162">
        <f t="shared" si="11"/>
        <v>1248.609375</v>
      </c>
      <c r="F34" s="162">
        <f t="shared" si="11"/>
        <v>1248.609375</v>
      </c>
      <c r="G34" s="162">
        <f t="shared" si="11"/>
        <v>1248.609375</v>
      </c>
      <c r="H34" s="162">
        <f t="shared" si="11"/>
        <v>1248.609375</v>
      </c>
      <c r="I34" s="162">
        <f t="shared" si="11"/>
        <v>1248.609375</v>
      </c>
    </row>
    <row r="35" spans="1:9" ht="12.75">
      <c r="A35" s="81" t="s">
        <v>95</v>
      </c>
      <c r="B35" s="183"/>
      <c r="C35" s="161">
        <f aca="true" t="shared" si="12" ref="C35:I35">C32+C33-C34</f>
        <v>11237.484375</v>
      </c>
      <c r="D35" s="161">
        <f t="shared" si="12"/>
        <v>9988.875</v>
      </c>
      <c r="E35" s="161">
        <f t="shared" si="12"/>
        <v>8740.265625</v>
      </c>
      <c r="F35" s="161">
        <f t="shared" si="12"/>
        <v>7491.65625</v>
      </c>
      <c r="G35" s="161">
        <f t="shared" si="12"/>
        <v>6243.046875</v>
      </c>
      <c r="H35" s="161">
        <f t="shared" si="12"/>
        <v>4994.4375</v>
      </c>
      <c r="I35" s="161">
        <f t="shared" si="12"/>
        <v>3745.828125</v>
      </c>
    </row>
    <row r="36" spans="1:9" ht="12.75" hidden="1" outlineLevel="1">
      <c r="A36" s="79" t="s">
        <v>146</v>
      </c>
      <c r="C36" s="146"/>
      <c r="D36" s="146"/>
      <c r="E36" s="146"/>
      <c r="F36" s="146"/>
      <c r="G36" s="146"/>
      <c r="H36" s="146"/>
      <c r="I36" s="146"/>
    </row>
    <row r="37" spans="1:9" ht="12.75" hidden="1" outlineLevel="1">
      <c r="A37" s="81" t="s">
        <v>91</v>
      </c>
      <c r="B37" s="184">
        <v>0.05</v>
      </c>
      <c r="C37" s="81"/>
      <c r="D37" s="81"/>
      <c r="E37" s="81"/>
      <c r="F37" s="81"/>
      <c r="G37" s="81"/>
      <c r="H37" s="81"/>
      <c r="I37" s="81"/>
    </row>
    <row r="38" spans="1:9" ht="12.75" hidden="1" outlineLevel="1">
      <c r="A38" s="81" t="s">
        <v>92</v>
      </c>
      <c r="B38" s="183"/>
      <c r="C38" s="150">
        <f>Инв!C33</f>
        <v>0</v>
      </c>
      <c r="D38" s="161">
        <f aca="true" t="shared" si="13" ref="D38:I38">C41</f>
        <v>0</v>
      </c>
      <c r="E38" s="161">
        <f t="shared" si="13"/>
        <v>0</v>
      </c>
      <c r="F38" s="161">
        <f t="shared" si="13"/>
        <v>0</v>
      </c>
      <c r="G38" s="161">
        <f t="shared" si="13"/>
        <v>0</v>
      </c>
      <c r="H38" s="161">
        <f t="shared" si="13"/>
        <v>0</v>
      </c>
      <c r="I38" s="161">
        <f t="shared" si="13"/>
        <v>0</v>
      </c>
    </row>
    <row r="39" spans="1:9" ht="12.75" hidden="1" outlineLevel="1">
      <c r="A39" s="81" t="s">
        <v>93</v>
      </c>
      <c r="B39" s="183"/>
      <c r="C39" s="161"/>
      <c r="D39" s="161"/>
      <c r="E39" s="161"/>
      <c r="F39" s="161"/>
      <c r="G39" s="161"/>
      <c r="H39" s="161"/>
      <c r="I39" s="161"/>
    </row>
    <row r="40" spans="1:9" ht="12.75" hidden="1" outlineLevel="1">
      <c r="A40" s="163" t="s">
        <v>94</v>
      </c>
      <c r="B40" s="163"/>
      <c r="C40" s="162">
        <f aca="true" t="shared" si="14" ref="C40:I40">$C38*$B37</f>
        <v>0</v>
      </c>
      <c r="D40" s="162">
        <f t="shared" si="14"/>
        <v>0</v>
      </c>
      <c r="E40" s="162">
        <f t="shared" si="14"/>
        <v>0</v>
      </c>
      <c r="F40" s="162">
        <f t="shared" si="14"/>
        <v>0</v>
      </c>
      <c r="G40" s="162">
        <f t="shared" si="14"/>
        <v>0</v>
      </c>
      <c r="H40" s="162">
        <f t="shared" si="14"/>
        <v>0</v>
      </c>
      <c r="I40" s="162">
        <f t="shared" si="14"/>
        <v>0</v>
      </c>
    </row>
    <row r="41" spans="1:9" ht="12.75" hidden="1" outlineLevel="1">
      <c r="A41" s="81" t="s">
        <v>95</v>
      </c>
      <c r="B41" s="183"/>
      <c r="C41" s="161">
        <f aca="true" t="shared" si="15" ref="C41:I41">C38+C39-C40</f>
        <v>0</v>
      </c>
      <c r="D41" s="161">
        <f t="shared" si="15"/>
        <v>0</v>
      </c>
      <c r="E41" s="161">
        <f t="shared" si="15"/>
        <v>0</v>
      </c>
      <c r="F41" s="161">
        <f t="shared" si="15"/>
        <v>0</v>
      </c>
      <c r="G41" s="161">
        <f t="shared" si="15"/>
        <v>0</v>
      </c>
      <c r="H41" s="161">
        <f t="shared" si="15"/>
        <v>0</v>
      </c>
      <c r="I41" s="161">
        <f t="shared" si="15"/>
        <v>0</v>
      </c>
    </row>
    <row r="42" spans="1:9" ht="12.75" hidden="1" outlineLevel="1">
      <c r="A42" s="79" t="s">
        <v>123</v>
      </c>
      <c r="C42" s="146"/>
      <c r="D42" s="146"/>
      <c r="E42" s="146"/>
      <c r="F42" s="146"/>
      <c r="G42" s="146"/>
      <c r="H42" s="146"/>
      <c r="I42" s="146"/>
    </row>
    <row r="43" spans="1:9" ht="12.75" hidden="1" outlineLevel="1">
      <c r="A43" s="81" t="s">
        <v>91</v>
      </c>
      <c r="B43" s="184">
        <v>0.1</v>
      </c>
      <c r="C43" s="81"/>
      <c r="D43" s="81"/>
      <c r="E43" s="81"/>
      <c r="F43" s="81"/>
      <c r="G43" s="81"/>
      <c r="H43" s="81"/>
      <c r="I43" s="81"/>
    </row>
    <row r="44" spans="1:9" ht="12.75" hidden="1" outlineLevel="1">
      <c r="A44" s="81" t="s">
        <v>92</v>
      </c>
      <c r="B44" s="183"/>
      <c r="C44" s="161">
        <f>Инв!C34</f>
        <v>12486.09375</v>
      </c>
      <c r="D44" s="161">
        <f aca="true" t="shared" si="16" ref="D44:I44">C47</f>
        <v>11237.484375</v>
      </c>
      <c r="E44" s="161">
        <f t="shared" si="16"/>
        <v>9988.875</v>
      </c>
      <c r="F44" s="161">
        <f t="shared" si="16"/>
        <v>8740.265625</v>
      </c>
      <c r="G44" s="161">
        <f t="shared" si="16"/>
        <v>7491.65625</v>
      </c>
      <c r="H44" s="161">
        <f t="shared" si="16"/>
        <v>6243.046875</v>
      </c>
      <c r="I44" s="161">
        <f t="shared" si="16"/>
        <v>4994.4375</v>
      </c>
    </row>
    <row r="45" spans="1:9" ht="12.75" hidden="1" outlineLevel="1">
      <c r="A45" s="81" t="s">
        <v>93</v>
      </c>
      <c r="B45" s="183"/>
      <c r="C45" s="161"/>
      <c r="D45" s="161"/>
      <c r="E45" s="161"/>
      <c r="F45" s="161"/>
      <c r="G45" s="161"/>
      <c r="H45" s="161"/>
      <c r="I45" s="161"/>
    </row>
    <row r="46" spans="1:9" ht="12.75" hidden="1" outlineLevel="1">
      <c r="A46" s="163" t="s">
        <v>94</v>
      </c>
      <c r="B46" s="163"/>
      <c r="C46" s="162">
        <f aca="true" t="shared" si="17" ref="C46:I46">$C44*$B43</f>
        <v>1248.609375</v>
      </c>
      <c r="D46" s="162">
        <f t="shared" si="17"/>
        <v>1248.609375</v>
      </c>
      <c r="E46" s="162">
        <f t="shared" si="17"/>
        <v>1248.609375</v>
      </c>
      <c r="F46" s="162">
        <f t="shared" si="17"/>
        <v>1248.609375</v>
      </c>
      <c r="G46" s="162">
        <f t="shared" si="17"/>
        <v>1248.609375</v>
      </c>
      <c r="H46" s="162">
        <f t="shared" si="17"/>
        <v>1248.609375</v>
      </c>
      <c r="I46" s="162">
        <f t="shared" si="17"/>
        <v>1248.609375</v>
      </c>
    </row>
    <row r="47" spans="1:9" ht="12.75" hidden="1" outlineLevel="1">
      <c r="A47" s="81" t="s">
        <v>95</v>
      </c>
      <c r="B47" s="183"/>
      <c r="C47" s="161">
        <f aca="true" t="shared" si="18" ref="C47:I47">C44+C45-C46</f>
        <v>11237.484375</v>
      </c>
      <c r="D47" s="161">
        <f t="shared" si="18"/>
        <v>9988.875</v>
      </c>
      <c r="E47" s="161">
        <f t="shared" si="18"/>
        <v>8740.265625</v>
      </c>
      <c r="F47" s="161">
        <f t="shared" si="18"/>
        <v>7491.65625</v>
      </c>
      <c r="G47" s="161">
        <f t="shared" si="18"/>
        <v>6243.046875</v>
      </c>
      <c r="H47" s="161">
        <f t="shared" si="18"/>
        <v>4994.4375</v>
      </c>
      <c r="I47" s="161">
        <f t="shared" si="18"/>
        <v>3745.828125</v>
      </c>
    </row>
    <row r="48" ht="12.75" collapsed="1"/>
  </sheetData>
  <sheetProtection/>
  <mergeCells count="1">
    <mergeCell ref="A29:F29"/>
  </mergeCells>
  <printOptions/>
  <pageMargins left="0.21" right="0.2" top="0.3" bottom="1.09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7" sqref="B7:B12"/>
    </sheetView>
  </sheetViews>
  <sheetFormatPr defaultColWidth="9.00390625" defaultRowHeight="12.75" outlineLevelCol="1"/>
  <cols>
    <col min="1" max="1" width="23.25390625" style="187" customWidth="1"/>
    <col min="2" max="2" width="12.125" style="187" customWidth="1"/>
    <col min="3" max="14" width="9.125" style="187" hidden="1" customWidth="1" outlineLevel="1"/>
    <col min="15" max="15" width="10.125" style="188" bestFit="1" customWidth="1" collapsed="1"/>
    <col min="16" max="27" width="9.125" style="187" hidden="1" customWidth="1" outlineLevel="1"/>
    <col min="28" max="28" width="10.125" style="188" bestFit="1" customWidth="1" collapsed="1"/>
    <col min="29" max="40" width="9.125" style="187" hidden="1" customWidth="1" outlineLevel="1"/>
    <col min="41" max="41" width="10.125" style="188" bestFit="1" customWidth="1" collapsed="1"/>
    <col min="42" max="47" width="9.125" style="187" hidden="1" customWidth="1" outlineLevel="1"/>
    <col min="48" max="48" width="9.25390625" style="187" hidden="1" customWidth="1" outlineLevel="1"/>
    <col min="49" max="53" width="8.75390625" style="187" hidden="1" customWidth="1" outlineLevel="1"/>
    <col min="54" max="54" width="10.125" style="188" bestFit="1" customWidth="1" collapsed="1"/>
    <col min="55" max="66" width="8.75390625" style="187" hidden="1" customWidth="1" outlineLevel="1"/>
    <col min="67" max="67" width="10.125" style="188" bestFit="1" customWidth="1" collapsed="1"/>
    <col min="68" max="79" width="8.75390625" style="187" hidden="1" customWidth="1" outlineLevel="1"/>
    <col min="80" max="80" width="10.125" style="188" bestFit="1" customWidth="1" collapsed="1"/>
    <col min="81" max="92" width="8.75390625" style="187" hidden="1" customWidth="1" outlineLevel="1"/>
    <col min="93" max="93" width="10.125" style="188" bestFit="1" customWidth="1" collapsed="1"/>
    <col min="94" max="16384" width="9.125" style="187" customWidth="1"/>
  </cols>
  <sheetData>
    <row r="1" ht="9.75" customHeight="1"/>
    <row r="2" spans="1:15" ht="18.75" customHeight="1">
      <c r="A2" s="188" t="s">
        <v>111</v>
      </c>
      <c r="B2" s="189"/>
      <c r="D2" s="190"/>
      <c r="E2" s="190"/>
      <c r="F2" s="191"/>
      <c r="G2" s="190"/>
      <c r="O2" s="192"/>
    </row>
    <row r="3" spans="1:15" ht="13.5" customHeight="1">
      <c r="A3" s="193"/>
      <c r="B3" s="189"/>
      <c r="D3" s="190"/>
      <c r="E3" s="190"/>
      <c r="F3" s="191"/>
      <c r="G3" s="190"/>
      <c r="O3" s="192"/>
    </row>
    <row r="4" spans="1:2" ht="12.75">
      <c r="A4" s="194"/>
      <c r="B4" s="195"/>
    </row>
    <row r="5" spans="1:93" ht="15.75" customHeight="1">
      <c r="A5" s="196" t="s">
        <v>12</v>
      </c>
      <c r="B5" s="197">
        <f>Исх!C26</f>
        <v>0.12</v>
      </c>
      <c r="C5" s="289">
        <v>2012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>
        <v>2013</v>
      </c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>
        <v>2014</v>
      </c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>
        <v>2015</v>
      </c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>
        <v>2016</v>
      </c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>
        <v>2017</v>
      </c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>
        <v>2018</v>
      </c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</row>
    <row r="6" spans="1:93" s="202" customFormat="1" ht="15" customHeight="1">
      <c r="A6" s="198" t="s">
        <v>10</v>
      </c>
      <c r="B6" s="199" t="s">
        <v>13</v>
      </c>
      <c r="C6" s="200">
        <v>1</v>
      </c>
      <c r="D6" s="200">
        <v>2</v>
      </c>
      <c r="E6" s="200">
        <f>D6+1</f>
        <v>3</v>
      </c>
      <c r="F6" s="200">
        <f aca="true" t="shared" si="0" ref="F6:N6">E6+1</f>
        <v>4</v>
      </c>
      <c r="G6" s="200">
        <f t="shared" si="0"/>
        <v>5</v>
      </c>
      <c r="H6" s="200">
        <f t="shared" si="0"/>
        <v>6</v>
      </c>
      <c r="I6" s="200">
        <f t="shared" si="0"/>
        <v>7</v>
      </c>
      <c r="J6" s="200">
        <f t="shared" si="0"/>
        <v>8</v>
      </c>
      <c r="K6" s="200">
        <f t="shared" si="0"/>
        <v>9</v>
      </c>
      <c r="L6" s="200">
        <f t="shared" si="0"/>
        <v>10</v>
      </c>
      <c r="M6" s="200">
        <f t="shared" si="0"/>
        <v>11</v>
      </c>
      <c r="N6" s="200">
        <f t="shared" si="0"/>
        <v>12</v>
      </c>
      <c r="O6" s="201" t="s">
        <v>1</v>
      </c>
      <c r="P6" s="200">
        <v>1</v>
      </c>
      <c r="Q6" s="200">
        <v>2</v>
      </c>
      <c r="R6" s="200">
        <f>Q6+1</f>
        <v>3</v>
      </c>
      <c r="S6" s="200">
        <f aca="true" t="shared" si="1" ref="S6:AA6">R6+1</f>
        <v>4</v>
      </c>
      <c r="T6" s="200">
        <f t="shared" si="1"/>
        <v>5</v>
      </c>
      <c r="U6" s="200">
        <f t="shared" si="1"/>
        <v>6</v>
      </c>
      <c r="V6" s="200">
        <f t="shared" si="1"/>
        <v>7</v>
      </c>
      <c r="W6" s="200">
        <f t="shared" si="1"/>
        <v>8</v>
      </c>
      <c r="X6" s="200">
        <f t="shared" si="1"/>
        <v>9</v>
      </c>
      <c r="Y6" s="200">
        <f t="shared" si="1"/>
        <v>10</v>
      </c>
      <c r="Z6" s="200">
        <f t="shared" si="1"/>
        <v>11</v>
      </c>
      <c r="AA6" s="200">
        <f t="shared" si="1"/>
        <v>12</v>
      </c>
      <c r="AB6" s="201" t="s">
        <v>1</v>
      </c>
      <c r="AC6" s="200">
        <v>1</v>
      </c>
      <c r="AD6" s="200">
        <v>2</v>
      </c>
      <c r="AE6" s="200">
        <f aca="true" t="shared" si="2" ref="AE6:BN6">AD6+1</f>
        <v>3</v>
      </c>
      <c r="AF6" s="200">
        <f t="shared" si="2"/>
        <v>4</v>
      </c>
      <c r="AG6" s="200">
        <f t="shared" si="2"/>
        <v>5</v>
      </c>
      <c r="AH6" s="200">
        <f t="shared" si="2"/>
        <v>6</v>
      </c>
      <c r="AI6" s="200">
        <f t="shared" si="2"/>
        <v>7</v>
      </c>
      <c r="AJ6" s="200">
        <f t="shared" si="2"/>
        <v>8</v>
      </c>
      <c r="AK6" s="200">
        <f t="shared" si="2"/>
        <v>9</v>
      </c>
      <c r="AL6" s="200">
        <f t="shared" si="2"/>
        <v>10</v>
      </c>
      <c r="AM6" s="200">
        <f t="shared" si="2"/>
        <v>11</v>
      </c>
      <c r="AN6" s="200">
        <f t="shared" si="2"/>
        <v>12</v>
      </c>
      <c r="AO6" s="201" t="s">
        <v>1</v>
      </c>
      <c r="AP6" s="200">
        <v>1</v>
      </c>
      <c r="AQ6" s="200">
        <v>2</v>
      </c>
      <c r="AR6" s="200">
        <f>AQ6+1</f>
        <v>3</v>
      </c>
      <c r="AS6" s="200">
        <f t="shared" si="2"/>
        <v>4</v>
      </c>
      <c r="AT6" s="200">
        <f t="shared" si="2"/>
        <v>5</v>
      </c>
      <c r="AU6" s="200">
        <f t="shared" si="2"/>
        <v>6</v>
      </c>
      <c r="AV6" s="200">
        <f t="shared" si="2"/>
        <v>7</v>
      </c>
      <c r="AW6" s="200">
        <f t="shared" si="2"/>
        <v>8</v>
      </c>
      <c r="AX6" s="200">
        <f t="shared" si="2"/>
        <v>9</v>
      </c>
      <c r="AY6" s="200">
        <f t="shared" si="2"/>
        <v>10</v>
      </c>
      <c r="AZ6" s="200">
        <f t="shared" si="2"/>
        <v>11</v>
      </c>
      <c r="BA6" s="200">
        <f t="shared" si="2"/>
        <v>12</v>
      </c>
      <c r="BB6" s="201" t="s">
        <v>1</v>
      </c>
      <c r="BC6" s="200">
        <v>1</v>
      </c>
      <c r="BD6" s="200">
        <v>2</v>
      </c>
      <c r="BE6" s="200">
        <f>BD6+1</f>
        <v>3</v>
      </c>
      <c r="BF6" s="200">
        <f t="shared" si="2"/>
        <v>4</v>
      </c>
      <c r="BG6" s="200">
        <f t="shared" si="2"/>
        <v>5</v>
      </c>
      <c r="BH6" s="200">
        <f t="shared" si="2"/>
        <v>6</v>
      </c>
      <c r="BI6" s="200">
        <f t="shared" si="2"/>
        <v>7</v>
      </c>
      <c r="BJ6" s="200">
        <f t="shared" si="2"/>
        <v>8</v>
      </c>
      <c r="BK6" s="200">
        <f t="shared" si="2"/>
        <v>9</v>
      </c>
      <c r="BL6" s="200">
        <f t="shared" si="2"/>
        <v>10</v>
      </c>
      <c r="BM6" s="200">
        <f t="shared" si="2"/>
        <v>11</v>
      </c>
      <c r="BN6" s="200">
        <f t="shared" si="2"/>
        <v>12</v>
      </c>
      <c r="BO6" s="201" t="s">
        <v>1</v>
      </c>
      <c r="BP6" s="200">
        <v>1</v>
      </c>
      <c r="BQ6" s="200">
        <v>2</v>
      </c>
      <c r="BR6" s="200">
        <f aca="true" t="shared" si="3" ref="BR6:CA6">BQ6+1</f>
        <v>3</v>
      </c>
      <c r="BS6" s="200">
        <f t="shared" si="3"/>
        <v>4</v>
      </c>
      <c r="BT6" s="200">
        <f t="shared" si="3"/>
        <v>5</v>
      </c>
      <c r="BU6" s="200">
        <f t="shared" si="3"/>
        <v>6</v>
      </c>
      <c r="BV6" s="200">
        <f t="shared" si="3"/>
        <v>7</v>
      </c>
      <c r="BW6" s="200">
        <f t="shared" si="3"/>
        <v>8</v>
      </c>
      <c r="BX6" s="200">
        <f t="shared" si="3"/>
        <v>9</v>
      </c>
      <c r="BY6" s="200">
        <f t="shared" si="3"/>
        <v>10</v>
      </c>
      <c r="BZ6" s="200">
        <f t="shared" si="3"/>
        <v>11</v>
      </c>
      <c r="CA6" s="200">
        <f t="shared" si="3"/>
        <v>12</v>
      </c>
      <c r="CB6" s="201" t="s">
        <v>1</v>
      </c>
      <c r="CC6" s="200">
        <v>1</v>
      </c>
      <c r="CD6" s="200">
        <v>2</v>
      </c>
      <c r="CE6" s="200">
        <f aca="true" t="shared" si="4" ref="CE6:CN6">CD6+1</f>
        <v>3</v>
      </c>
      <c r="CF6" s="200">
        <f t="shared" si="4"/>
        <v>4</v>
      </c>
      <c r="CG6" s="200">
        <f t="shared" si="4"/>
        <v>5</v>
      </c>
      <c r="CH6" s="200">
        <f t="shared" si="4"/>
        <v>6</v>
      </c>
      <c r="CI6" s="200">
        <f t="shared" si="4"/>
        <v>7</v>
      </c>
      <c r="CJ6" s="200">
        <f t="shared" si="4"/>
        <v>8</v>
      </c>
      <c r="CK6" s="200">
        <f t="shared" si="4"/>
        <v>9</v>
      </c>
      <c r="CL6" s="200">
        <f t="shared" si="4"/>
        <v>10</v>
      </c>
      <c r="CM6" s="200">
        <f t="shared" si="4"/>
        <v>11</v>
      </c>
      <c r="CN6" s="200">
        <f t="shared" si="4"/>
        <v>12</v>
      </c>
      <c r="CO6" s="201" t="s">
        <v>1</v>
      </c>
    </row>
    <row r="7" spans="1:94" ht="12.75">
      <c r="A7" s="198" t="s">
        <v>124</v>
      </c>
      <c r="B7" s="203">
        <f>O7+AB7+AO7+BB7+BO7+CB7+CO7</f>
        <v>12591.928103999999</v>
      </c>
      <c r="C7" s="204">
        <f>'1-Ф3'!D29</f>
        <v>3809.5487500000004</v>
      </c>
      <c r="D7" s="204">
        <f>'1-Ф3'!E29</f>
        <v>4894.54875</v>
      </c>
      <c r="E7" s="204">
        <f>'1-Ф3'!F29</f>
        <v>1790.6</v>
      </c>
      <c r="F7" s="204">
        <f>'1-Ф3'!G29</f>
        <v>655.9153019999997</v>
      </c>
      <c r="G7" s="204">
        <f>'1-Ф3'!H29</f>
        <v>496.3153019999996</v>
      </c>
      <c r="H7" s="204">
        <f>'1-Ф3'!I29</f>
        <v>944.9999999999999</v>
      </c>
      <c r="I7" s="204">
        <f>'1-Ф3'!J29</f>
        <v>0</v>
      </c>
      <c r="J7" s="204">
        <f>'1-Ф3'!K29</f>
        <v>0</v>
      </c>
      <c r="K7" s="204">
        <f>'1-Ф3'!L29</f>
        <v>0</v>
      </c>
      <c r="L7" s="204">
        <f>'1-Ф3'!M29</f>
        <v>0</v>
      </c>
      <c r="M7" s="204">
        <f>'1-Ф3'!N29</f>
        <v>0</v>
      </c>
      <c r="N7" s="204">
        <f>'1-Ф3'!O29</f>
        <v>0</v>
      </c>
      <c r="O7" s="205">
        <f>SUM(C7:N7)</f>
        <v>12591.928103999999</v>
      </c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6"/>
    </row>
    <row r="8" spans="1:93" s="207" customFormat="1" ht="20.25" customHeight="1">
      <c r="A8" s="198" t="s">
        <v>34</v>
      </c>
      <c r="B8" s="203">
        <f>O8+AB8+AO8+BB8+BO8+CB8+CO8</f>
        <v>458.05884656</v>
      </c>
      <c r="C8" s="204"/>
      <c r="D8" s="204"/>
      <c r="E8" s="204"/>
      <c r="F8" s="204"/>
      <c r="G8" s="204"/>
      <c r="H8" s="204">
        <f>SUM(C9:H9)</f>
        <v>458.05884656</v>
      </c>
      <c r="I8" s="204"/>
      <c r="J8" s="204"/>
      <c r="K8" s="204"/>
      <c r="L8" s="204"/>
      <c r="M8" s="204"/>
      <c r="N8" s="204"/>
      <c r="O8" s="205">
        <f>SUM(C8:N8)</f>
        <v>458.05884656</v>
      </c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5">
        <f>SUM(P8:AA8)</f>
        <v>0</v>
      </c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>
        <f>SUM(AC8:AN8)</f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>
        <f>SUM(AP8:BA8)</f>
        <v>0</v>
      </c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5">
        <f>SUM(BC8:BN8)</f>
        <v>0</v>
      </c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5">
        <f>SUM(BP8:CA8)</f>
        <v>0</v>
      </c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5">
        <f>SUM(CC8:CN8)</f>
        <v>0</v>
      </c>
    </row>
    <row r="9" spans="1:93" s="207" customFormat="1" ht="12.75">
      <c r="A9" s="208" t="s">
        <v>14</v>
      </c>
      <c r="B9" s="203">
        <f>O9+AB9+AO9+BB9+BO9+CB9+CO9</f>
        <v>5612.803692031192</v>
      </c>
      <c r="C9" s="204"/>
      <c r="D9" s="204">
        <f>C12*$B$5/12</f>
        <v>38.095487500000004</v>
      </c>
      <c r="E9" s="204">
        <f>D12*$B$5/12</f>
        <v>87.040975</v>
      </c>
      <c r="F9" s="204">
        <f>E12*$B$5/12</f>
        <v>104.946975</v>
      </c>
      <c r="G9" s="204">
        <f>F12*$B$5/12</f>
        <v>111.50612801999999</v>
      </c>
      <c r="H9" s="204">
        <f>G12*$B$5/12</f>
        <v>116.46928103999998</v>
      </c>
      <c r="I9" s="204">
        <f aca="true" t="shared" si="5" ref="I9:AA9">H12*$B$5/12</f>
        <v>130.49986950559997</v>
      </c>
      <c r="J9" s="204">
        <f t="shared" si="5"/>
        <v>128.82679425552817</v>
      </c>
      <c r="K9" s="204">
        <f t="shared" si="5"/>
        <v>127.15371900545638</v>
      </c>
      <c r="L9" s="204">
        <f>K12*$B$5/12</f>
        <v>125.48064375538458</v>
      </c>
      <c r="M9" s="204">
        <f t="shared" si="5"/>
        <v>123.8075685053128</v>
      </c>
      <c r="N9" s="204">
        <f t="shared" si="5"/>
        <v>122.134493255241</v>
      </c>
      <c r="O9" s="205">
        <f>SUM(C9:N9)</f>
        <v>1215.961934842523</v>
      </c>
      <c r="P9" s="204">
        <f t="shared" si="5"/>
        <v>120.4614180051692</v>
      </c>
      <c r="Q9" s="204">
        <f t="shared" si="5"/>
        <v>118.7883427550974</v>
      </c>
      <c r="R9" s="204">
        <f t="shared" si="5"/>
        <v>117.1152675050256</v>
      </c>
      <c r="S9" s="204">
        <f t="shared" si="5"/>
        <v>115.4421922549538</v>
      </c>
      <c r="T9" s="204">
        <f t="shared" si="5"/>
        <v>113.769117004882</v>
      </c>
      <c r="U9" s="204">
        <f t="shared" si="5"/>
        <v>112.0960417548102</v>
      </c>
      <c r="V9" s="204">
        <f t="shared" si="5"/>
        <v>110.4229665047384</v>
      </c>
      <c r="W9" s="204">
        <f t="shared" si="5"/>
        <v>108.74989125466662</v>
      </c>
      <c r="X9" s="204">
        <f t="shared" si="5"/>
        <v>107.07681600459482</v>
      </c>
      <c r="Y9" s="204">
        <f t="shared" si="5"/>
        <v>105.40374075452303</v>
      </c>
      <c r="Z9" s="204">
        <f t="shared" si="5"/>
        <v>103.73066550445122</v>
      </c>
      <c r="AA9" s="204">
        <f t="shared" si="5"/>
        <v>102.05759025437942</v>
      </c>
      <c r="AB9" s="205">
        <f>SUM(P9:AA9)</f>
        <v>1335.1140495572918</v>
      </c>
      <c r="AC9" s="204">
        <f aca="true" t="shared" si="6" ref="AC9:AN9">AB12*$B$5/12</f>
        <v>100.38451500430763</v>
      </c>
      <c r="AD9" s="204">
        <f t="shared" si="6"/>
        <v>98.71143975423583</v>
      </c>
      <c r="AE9" s="204">
        <f t="shared" si="6"/>
        <v>97.03836450416402</v>
      </c>
      <c r="AF9" s="204">
        <f t="shared" si="6"/>
        <v>95.36528925409225</v>
      </c>
      <c r="AG9" s="204">
        <f t="shared" si="6"/>
        <v>93.69221400402044</v>
      </c>
      <c r="AH9" s="204">
        <f t="shared" si="6"/>
        <v>92.01913875394864</v>
      </c>
      <c r="AI9" s="204">
        <f t="shared" si="6"/>
        <v>90.34606350387685</v>
      </c>
      <c r="AJ9" s="204">
        <f t="shared" si="6"/>
        <v>88.67298825380504</v>
      </c>
      <c r="AK9" s="204">
        <f t="shared" si="6"/>
        <v>86.99991300373325</v>
      </c>
      <c r="AL9" s="204">
        <f t="shared" si="6"/>
        <v>85.32683775366145</v>
      </c>
      <c r="AM9" s="204">
        <f t="shared" si="6"/>
        <v>83.65376250358966</v>
      </c>
      <c r="AN9" s="204">
        <f t="shared" si="6"/>
        <v>81.98068725351786</v>
      </c>
      <c r="AO9" s="205">
        <f>SUM(AC9:AN9)</f>
        <v>1094.191213546953</v>
      </c>
      <c r="AP9" s="204">
        <f aca="true" t="shared" si="7" ref="AP9:BA9">AO12*$B$5/12</f>
        <v>80.30761200344607</v>
      </c>
      <c r="AQ9" s="204">
        <f t="shared" si="7"/>
        <v>78.63453675337426</v>
      </c>
      <c r="AR9" s="204">
        <f t="shared" si="7"/>
        <v>76.96146150330246</v>
      </c>
      <c r="AS9" s="204">
        <f t="shared" si="7"/>
        <v>75.28838625323067</v>
      </c>
      <c r="AT9" s="204">
        <f t="shared" si="7"/>
        <v>73.61531100315888</v>
      </c>
      <c r="AU9" s="204">
        <f t="shared" si="7"/>
        <v>71.94223575308708</v>
      </c>
      <c r="AV9" s="204">
        <f t="shared" si="7"/>
        <v>70.26916050301527</v>
      </c>
      <c r="AW9" s="204">
        <f t="shared" si="7"/>
        <v>68.59608525294348</v>
      </c>
      <c r="AX9" s="204">
        <f t="shared" si="7"/>
        <v>66.92301000287169</v>
      </c>
      <c r="AY9" s="204">
        <f t="shared" si="7"/>
        <v>65.24993475279989</v>
      </c>
      <c r="AZ9" s="204">
        <f t="shared" si="7"/>
        <v>63.57685950272809</v>
      </c>
      <c r="BA9" s="204">
        <f t="shared" si="7"/>
        <v>61.903784252656294</v>
      </c>
      <c r="BB9" s="205">
        <f>SUM(AP9:BA9)</f>
        <v>853.268377536614</v>
      </c>
      <c r="BC9" s="204">
        <f aca="true" t="shared" si="8" ref="BC9:BN9">BB12*$B$5/12</f>
        <v>60.2307090025845</v>
      </c>
      <c r="BD9" s="204">
        <f t="shared" si="8"/>
        <v>58.55763375251269</v>
      </c>
      <c r="BE9" s="204">
        <f t="shared" si="8"/>
        <v>56.8845585024409</v>
      </c>
      <c r="BF9" s="204">
        <f t="shared" si="8"/>
        <v>55.211483252369106</v>
      </c>
      <c r="BG9" s="204">
        <f t="shared" si="8"/>
        <v>53.53840800229731</v>
      </c>
      <c r="BH9" s="204">
        <f t="shared" si="8"/>
        <v>51.865332752225505</v>
      </c>
      <c r="BI9" s="204">
        <f t="shared" si="8"/>
        <v>50.192257502153716</v>
      </c>
      <c r="BJ9" s="204">
        <f t="shared" si="8"/>
        <v>48.51918225208192</v>
      </c>
      <c r="BK9" s="204">
        <f t="shared" si="8"/>
        <v>46.84610700201012</v>
      </c>
      <c r="BL9" s="204">
        <f t="shared" si="8"/>
        <v>45.17303175193832</v>
      </c>
      <c r="BM9" s="204">
        <f t="shared" si="8"/>
        <v>43.49995650186653</v>
      </c>
      <c r="BN9" s="204">
        <f t="shared" si="8"/>
        <v>41.826881251794724</v>
      </c>
      <c r="BO9" s="205">
        <f>SUM(BC9:BN9)</f>
        <v>612.3455415262754</v>
      </c>
      <c r="BP9" s="204">
        <f aca="true" t="shared" si="9" ref="BP9:CA9">BO12*$B$5/12</f>
        <v>40.153806001722934</v>
      </c>
      <c r="BQ9" s="204">
        <f t="shared" si="9"/>
        <v>38.480730751651144</v>
      </c>
      <c r="BR9" s="204">
        <f t="shared" si="9"/>
        <v>36.807655501579355</v>
      </c>
      <c r="BS9" s="204">
        <f t="shared" si="9"/>
        <v>35.13458025150756</v>
      </c>
      <c r="BT9" s="204">
        <f t="shared" si="9"/>
        <v>33.46150500143576</v>
      </c>
      <c r="BU9" s="204">
        <f t="shared" si="9"/>
        <v>31.788429751363974</v>
      </c>
      <c r="BV9" s="204">
        <f t="shared" si="9"/>
        <v>30.115354501292178</v>
      </c>
      <c r="BW9" s="204">
        <f t="shared" si="9"/>
        <v>28.442279251220388</v>
      </c>
      <c r="BX9" s="204">
        <f t="shared" si="9"/>
        <v>26.769204001148594</v>
      </c>
      <c r="BY9" s="204">
        <f t="shared" si="9"/>
        <v>25.096128751076805</v>
      </c>
      <c r="BZ9" s="204">
        <f t="shared" si="9"/>
        <v>23.42305350100501</v>
      </c>
      <c r="CA9" s="204">
        <f t="shared" si="9"/>
        <v>21.749978250933214</v>
      </c>
      <c r="CB9" s="205">
        <f>SUM(BP9:CA9)</f>
        <v>371.4227055159369</v>
      </c>
      <c r="CC9" s="204">
        <f aca="true" t="shared" si="10" ref="CC9:CN9">CB12*$B$5/12</f>
        <v>20.076903000861424</v>
      </c>
      <c r="CD9" s="204">
        <f t="shared" si="10"/>
        <v>18.403827750789628</v>
      </c>
      <c r="CE9" s="204">
        <f t="shared" si="10"/>
        <v>16.73075250071783</v>
      </c>
      <c r="CF9" s="204">
        <f t="shared" si="10"/>
        <v>15.057677250646037</v>
      </c>
      <c r="CG9" s="204">
        <f t="shared" si="10"/>
        <v>13.384602000574242</v>
      </c>
      <c r="CH9" s="204">
        <f t="shared" si="10"/>
        <v>11.711526750502449</v>
      </c>
      <c r="CI9" s="204">
        <f t="shared" si="10"/>
        <v>10.038451500430654</v>
      </c>
      <c r="CJ9" s="204">
        <f t="shared" si="10"/>
        <v>8.365376250358858</v>
      </c>
      <c r="CK9" s="204">
        <f t="shared" si="10"/>
        <v>6.692301000287063</v>
      </c>
      <c r="CL9" s="204">
        <f t="shared" si="10"/>
        <v>5.019225750215269</v>
      </c>
      <c r="CM9" s="204">
        <f t="shared" si="10"/>
        <v>3.3461505001434735</v>
      </c>
      <c r="CN9" s="204">
        <f t="shared" si="10"/>
        <v>1.673075250071679</v>
      </c>
      <c r="CO9" s="205">
        <f>SUM(CC9:CN9)</f>
        <v>130.4998695055986</v>
      </c>
    </row>
    <row r="10" spans="1:94" ht="12.75">
      <c r="A10" s="198" t="s">
        <v>15</v>
      </c>
      <c r="B10" s="203">
        <f>O10+AB10+AO10+BB10+BO10+CB10+CO10</f>
        <v>13049.986950559998</v>
      </c>
      <c r="C10" s="209"/>
      <c r="D10" s="209"/>
      <c r="E10" s="209"/>
      <c r="F10" s="209"/>
      <c r="G10" s="209"/>
      <c r="H10" s="209"/>
      <c r="I10" s="204">
        <f>$H$12/$B$13</f>
        <v>167.30752500717946</v>
      </c>
      <c r="J10" s="204">
        <f aca="true" t="shared" si="11" ref="J10:BU10">$H$12/$B$13</f>
        <v>167.30752500717946</v>
      </c>
      <c r="K10" s="204">
        <f t="shared" si="11"/>
        <v>167.30752500717946</v>
      </c>
      <c r="L10" s="204">
        <f t="shared" si="11"/>
        <v>167.30752500717946</v>
      </c>
      <c r="M10" s="204">
        <f t="shared" si="11"/>
        <v>167.30752500717946</v>
      </c>
      <c r="N10" s="204">
        <f t="shared" si="11"/>
        <v>167.30752500717946</v>
      </c>
      <c r="O10" s="205">
        <f>SUM(C10:N10)</f>
        <v>1003.8451500430768</v>
      </c>
      <c r="P10" s="204">
        <f t="shared" si="11"/>
        <v>167.30752500717946</v>
      </c>
      <c r="Q10" s="204">
        <f t="shared" si="11"/>
        <v>167.30752500717946</v>
      </c>
      <c r="R10" s="204">
        <f t="shared" si="11"/>
        <v>167.30752500717946</v>
      </c>
      <c r="S10" s="204">
        <f t="shared" si="11"/>
        <v>167.30752500717946</v>
      </c>
      <c r="T10" s="204">
        <f t="shared" si="11"/>
        <v>167.30752500717946</v>
      </c>
      <c r="U10" s="204">
        <f t="shared" si="11"/>
        <v>167.30752500717946</v>
      </c>
      <c r="V10" s="204">
        <f t="shared" si="11"/>
        <v>167.30752500717946</v>
      </c>
      <c r="W10" s="204">
        <f t="shared" si="11"/>
        <v>167.30752500717946</v>
      </c>
      <c r="X10" s="204">
        <f t="shared" si="11"/>
        <v>167.30752500717946</v>
      </c>
      <c r="Y10" s="204">
        <f t="shared" si="11"/>
        <v>167.30752500717946</v>
      </c>
      <c r="Z10" s="204">
        <f t="shared" si="11"/>
        <v>167.30752500717946</v>
      </c>
      <c r="AA10" s="204">
        <f t="shared" si="11"/>
        <v>167.30752500717946</v>
      </c>
      <c r="AB10" s="205">
        <f>SUM(P10:AA10)</f>
        <v>2007.6903000861537</v>
      </c>
      <c r="AC10" s="204">
        <f t="shared" si="11"/>
        <v>167.30752500717946</v>
      </c>
      <c r="AD10" s="204">
        <f t="shared" si="11"/>
        <v>167.30752500717946</v>
      </c>
      <c r="AE10" s="204">
        <f t="shared" si="11"/>
        <v>167.30752500717946</v>
      </c>
      <c r="AF10" s="204">
        <f t="shared" si="11"/>
        <v>167.30752500717946</v>
      </c>
      <c r="AG10" s="204">
        <f t="shared" si="11"/>
        <v>167.30752500717946</v>
      </c>
      <c r="AH10" s="204">
        <f t="shared" si="11"/>
        <v>167.30752500717946</v>
      </c>
      <c r="AI10" s="204">
        <f t="shared" si="11"/>
        <v>167.30752500717946</v>
      </c>
      <c r="AJ10" s="204">
        <f t="shared" si="11"/>
        <v>167.30752500717946</v>
      </c>
      <c r="AK10" s="204">
        <f t="shared" si="11"/>
        <v>167.30752500717946</v>
      </c>
      <c r="AL10" s="204">
        <f t="shared" si="11"/>
        <v>167.30752500717946</v>
      </c>
      <c r="AM10" s="204">
        <f t="shared" si="11"/>
        <v>167.30752500717946</v>
      </c>
      <c r="AN10" s="204">
        <f t="shared" si="11"/>
        <v>167.30752500717946</v>
      </c>
      <c r="AO10" s="205">
        <f>SUM(AC10:AN10)</f>
        <v>2007.6903000861537</v>
      </c>
      <c r="AP10" s="204">
        <f t="shared" si="11"/>
        <v>167.30752500717946</v>
      </c>
      <c r="AQ10" s="204">
        <f t="shared" si="11"/>
        <v>167.30752500717946</v>
      </c>
      <c r="AR10" s="204">
        <f t="shared" si="11"/>
        <v>167.30752500717946</v>
      </c>
      <c r="AS10" s="204">
        <f t="shared" si="11"/>
        <v>167.30752500717946</v>
      </c>
      <c r="AT10" s="204">
        <f t="shared" si="11"/>
        <v>167.30752500717946</v>
      </c>
      <c r="AU10" s="204">
        <f t="shared" si="11"/>
        <v>167.30752500717946</v>
      </c>
      <c r="AV10" s="204">
        <f t="shared" si="11"/>
        <v>167.30752500717946</v>
      </c>
      <c r="AW10" s="204">
        <f t="shared" si="11"/>
        <v>167.30752500717946</v>
      </c>
      <c r="AX10" s="204">
        <f t="shared" si="11"/>
        <v>167.30752500717946</v>
      </c>
      <c r="AY10" s="204">
        <f t="shared" si="11"/>
        <v>167.30752500717946</v>
      </c>
      <c r="AZ10" s="204">
        <f t="shared" si="11"/>
        <v>167.30752500717946</v>
      </c>
      <c r="BA10" s="204">
        <f t="shared" si="11"/>
        <v>167.30752500717946</v>
      </c>
      <c r="BB10" s="205">
        <f>SUM(AP10:BA10)</f>
        <v>2007.6903000861537</v>
      </c>
      <c r="BC10" s="204">
        <f t="shared" si="11"/>
        <v>167.30752500717946</v>
      </c>
      <c r="BD10" s="204">
        <f t="shared" si="11"/>
        <v>167.30752500717946</v>
      </c>
      <c r="BE10" s="204">
        <f t="shared" si="11"/>
        <v>167.30752500717946</v>
      </c>
      <c r="BF10" s="204">
        <f t="shared" si="11"/>
        <v>167.30752500717946</v>
      </c>
      <c r="BG10" s="204">
        <f t="shared" si="11"/>
        <v>167.30752500717946</v>
      </c>
      <c r="BH10" s="204">
        <f t="shared" si="11"/>
        <v>167.30752500717946</v>
      </c>
      <c r="BI10" s="204">
        <f t="shared" si="11"/>
        <v>167.30752500717946</v>
      </c>
      <c r="BJ10" s="204">
        <f t="shared" si="11"/>
        <v>167.30752500717946</v>
      </c>
      <c r="BK10" s="204">
        <f t="shared" si="11"/>
        <v>167.30752500717946</v>
      </c>
      <c r="BL10" s="204">
        <f t="shared" si="11"/>
        <v>167.30752500717946</v>
      </c>
      <c r="BM10" s="204">
        <f t="shared" si="11"/>
        <v>167.30752500717946</v>
      </c>
      <c r="BN10" s="204">
        <f t="shared" si="11"/>
        <v>167.30752500717946</v>
      </c>
      <c r="BO10" s="205">
        <f>SUM(BC10:BN10)</f>
        <v>2007.6903000861537</v>
      </c>
      <c r="BP10" s="204">
        <f t="shared" si="11"/>
        <v>167.30752500717946</v>
      </c>
      <c r="BQ10" s="204">
        <f t="shared" si="11"/>
        <v>167.30752500717946</v>
      </c>
      <c r="BR10" s="204">
        <f t="shared" si="11"/>
        <v>167.30752500717946</v>
      </c>
      <c r="BS10" s="204">
        <f t="shared" si="11"/>
        <v>167.30752500717946</v>
      </c>
      <c r="BT10" s="204">
        <f t="shared" si="11"/>
        <v>167.30752500717946</v>
      </c>
      <c r="BU10" s="204">
        <f t="shared" si="11"/>
        <v>167.30752500717946</v>
      </c>
      <c r="BV10" s="204">
        <f aca="true" t="shared" si="12" ref="BV10:CA10">$H$12/$B$13</f>
        <v>167.30752500717946</v>
      </c>
      <c r="BW10" s="204">
        <f t="shared" si="12"/>
        <v>167.30752500717946</v>
      </c>
      <c r="BX10" s="204">
        <f t="shared" si="12"/>
        <v>167.30752500717946</v>
      </c>
      <c r="BY10" s="204">
        <f t="shared" si="12"/>
        <v>167.30752500717946</v>
      </c>
      <c r="BZ10" s="204">
        <f t="shared" si="12"/>
        <v>167.30752500717946</v>
      </c>
      <c r="CA10" s="204">
        <f t="shared" si="12"/>
        <v>167.30752500717946</v>
      </c>
      <c r="CB10" s="205">
        <f>SUM(BP10:CA10)</f>
        <v>2007.6903000861537</v>
      </c>
      <c r="CC10" s="204">
        <f aca="true" t="shared" si="13" ref="CC10:CN10">$H$12/$B$13</f>
        <v>167.30752500717946</v>
      </c>
      <c r="CD10" s="204">
        <f t="shared" si="13"/>
        <v>167.30752500717946</v>
      </c>
      <c r="CE10" s="204">
        <f t="shared" si="13"/>
        <v>167.30752500717946</v>
      </c>
      <c r="CF10" s="204">
        <f t="shared" si="13"/>
        <v>167.30752500717946</v>
      </c>
      <c r="CG10" s="204">
        <f t="shared" si="13"/>
        <v>167.30752500717946</v>
      </c>
      <c r="CH10" s="204">
        <f t="shared" si="13"/>
        <v>167.30752500717946</v>
      </c>
      <c r="CI10" s="204">
        <f t="shared" si="13"/>
        <v>167.30752500717946</v>
      </c>
      <c r="CJ10" s="204">
        <f t="shared" si="13"/>
        <v>167.30752500717946</v>
      </c>
      <c r="CK10" s="204">
        <f t="shared" si="13"/>
        <v>167.30752500717946</v>
      </c>
      <c r="CL10" s="204">
        <f t="shared" si="13"/>
        <v>167.30752500717946</v>
      </c>
      <c r="CM10" s="204">
        <f t="shared" si="13"/>
        <v>167.30752500717946</v>
      </c>
      <c r="CN10" s="204">
        <f t="shared" si="13"/>
        <v>167.30752500717946</v>
      </c>
      <c r="CO10" s="205">
        <f>SUM(CC10:CN10)</f>
        <v>2007.6903000861537</v>
      </c>
      <c r="CP10" s="206"/>
    </row>
    <row r="11" spans="1:94" ht="12.75">
      <c r="A11" s="198" t="s">
        <v>16</v>
      </c>
      <c r="B11" s="203">
        <f>O11+AB11+AO11+BB11+BO11+CB11+CO11</f>
        <v>5154.744845471192</v>
      </c>
      <c r="C11" s="209"/>
      <c r="D11" s="209"/>
      <c r="E11" s="209"/>
      <c r="F11" s="209"/>
      <c r="G11" s="209"/>
      <c r="H11" s="209"/>
      <c r="I11" s="204">
        <f aca="true" t="shared" si="14" ref="I11:N11">I9</f>
        <v>130.49986950559997</v>
      </c>
      <c r="J11" s="204">
        <f t="shared" si="14"/>
        <v>128.82679425552817</v>
      </c>
      <c r="K11" s="204">
        <f t="shared" si="14"/>
        <v>127.15371900545638</v>
      </c>
      <c r="L11" s="204">
        <f t="shared" si="14"/>
        <v>125.48064375538458</v>
      </c>
      <c r="M11" s="204">
        <f t="shared" si="14"/>
        <v>123.8075685053128</v>
      </c>
      <c r="N11" s="204">
        <f t="shared" si="14"/>
        <v>122.134493255241</v>
      </c>
      <c r="O11" s="205">
        <f>SUM(C11:N11)</f>
        <v>757.9030882825228</v>
      </c>
      <c r="P11" s="204">
        <f aca="true" t="shared" si="15" ref="P11:BN11">P9</f>
        <v>120.4614180051692</v>
      </c>
      <c r="Q11" s="204">
        <f t="shared" si="15"/>
        <v>118.7883427550974</v>
      </c>
      <c r="R11" s="204">
        <f t="shared" si="15"/>
        <v>117.1152675050256</v>
      </c>
      <c r="S11" s="204">
        <f t="shared" si="15"/>
        <v>115.4421922549538</v>
      </c>
      <c r="T11" s="204">
        <f t="shared" si="15"/>
        <v>113.769117004882</v>
      </c>
      <c r="U11" s="204">
        <f t="shared" si="15"/>
        <v>112.0960417548102</v>
      </c>
      <c r="V11" s="204">
        <f t="shared" si="15"/>
        <v>110.4229665047384</v>
      </c>
      <c r="W11" s="204">
        <f t="shared" si="15"/>
        <v>108.74989125466662</v>
      </c>
      <c r="X11" s="204">
        <f t="shared" si="15"/>
        <v>107.07681600459482</v>
      </c>
      <c r="Y11" s="204">
        <f t="shared" si="15"/>
        <v>105.40374075452303</v>
      </c>
      <c r="Z11" s="204">
        <f t="shared" si="15"/>
        <v>103.73066550445122</v>
      </c>
      <c r="AA11" s="204">
        <f t="shared" si="15"/>
        <v>102.05759025437942</v>
      </c>
      <c r="AB11" s="205">
        <f>SUM(P11:AA11)</f>
        <v>1335.1140495572918</v>
      </c>
      <c r="AC11" s="204">
        <f t="shared" si="15"/>
        <v>100.38451500430763</v>
      </c>
      <c r="AD11" s="204">
        <f t="shared" si="15"/>
        <v>98.71143975423583</v>
      </c>
      <c r="AE11" s="204">
        <f t="shared" si="15"/>
        <v>97.03836450416402</v>
      </c>
      <c r="AF11" s="204">
        <f t="shared" si="15"/>
        <v>95.36528925409225</v>
      </c>
      <c r="AG11" s="204">
        <f t="shared" si="15"/>
        <v>93.69221400402044</v>
      </c>
      <c r="AH11" s="204">
        <f t="shared" si="15"/>
        <v>92.01913875394864</v>
      </c>
      <c r="AI11" s="204">
        <f t="shared" si="15"/>
        <v>90.34606350387685</v>
      </c>
      <c r="AJ11" s="204">
        <f t="shared" si="15"/>
        <v>88.67298825380504</v>
      </c>
      <c r="AK11" s="204">
        <f t="shared" si="15"/>
        <v>86.99991300373325</v>
      </c>
      <c r="AL11" s="204">
        <f t="shared" si="15"/>
        <v>85.32683775366145</v>
      </c>
      <c r="AM11" s="204">
        <f t="shared" si="15"/>
        <v>83.65376250358966</v>
      </c>
      <c r="AN11" s="204">
        <f t="shared" si="15"/>
        <v>81.98068725351786</v>
      </c>
      <c r="AO11" s="205">
        <f>SUM(AC11:AN11)</f>
        <v>1094.191213546953</v>
      </c>
      <c r="AP11" s="204">
        <f t="shared" si="15"/>
        <v>80.30761200344607</v>
      </c>
      <c r="AQ11" s="204">
        <f t="shared" si="15"/>
        <v>78.63453675337426</v>
      </c>
      <c r="AR11" s="204">
        <f t="shared" si="15"/>
        <v>76.96146150330246</v>
      </c>
      <c r="AS11" s="204">
        <f t="shared" si="15"/>
        <v>75.28838625323067</v>
      </c>
      <c r="AT11" s="204">
        <f t="shared" si="15"/>
        <v>73.61531100315888</v>
      </c>
      <c r="AU11" s="204">
        <f t="shared" si="15"/>
        <v>71.94223575308708</v>
      </c>
      <c r="AV11" s="204">
        <f t="shared" si="15"/>
        <v>70.26916050301527</v>
      </c>
      <c r="AW11" s="204">
        <f t="shared" si="15"/>
        <v>68.59608525294348</v>
      </c>
      <c r="AX11" s="204">
        <f t="shared" si="15"/>
        <v>66.92301000287169</v>
      </c>
      <c r="AY11" s="204">
        <f t="shared" si="15"/>
        <v>65.24993475279989</v>
      </c>
      <c r="AZ11" s="204">
        <f t="shared" si="15"/>
        <v>63.57685950272809</v>
      </c>
      <c r="BA11" s="204">
        <f t="shared" si="15"/>
        <v>61.903784252656294</v>
      </c>
      <c r="BB11" s="205">
        <f>SUM(AP11:BA11)</f>
        <v>853.268377536614</v>
      </c>
      <c r="BC11" s="204">
        <f t="shared" si="15"/>
        <v>60.2307090025845</v>
      </c>
      <c r="BD11" s="204">
        <f t="shared" si="15"/>
        <v>58.55763375251269</v>
      </c>
      <c r="BE11" s="204">
        <f t="shared" si="15"/>
        <v>56.8845585024409</v>
      </c>
      <c r="BF11" s="204">
        <f t="shared" si="15"/>
        <v>55.211483252369106</v>
      </c>
      <c r="BG11" s="204">
        <f t="shared" si="15"/>
        <v>53.53840800229731</v>
      </c>
      <c r="BH11" s="204">
        <f t="shared" si="15"/>
        <v>51.865332752225505</v>
      </c>
      <c r="BI11" s="204">
        <f t="shared" si="15"/>
        <v>50.192257502153716</v>
      </c>
      <c r="BJ11" s="204">
        <f t="shared" si="15"/>
        <v>48.51918225208192</v>
      </c>
      <c r="BK11" s="204">
        <f t="shared" si="15"/>
        <v>46.84610700201012</v>
      </c>
      <c r="BL11" s="204">
        <f t="shared" si="15"/>
        <v>45.17303175193832</v>
      </c>
      <c r="BM11" s="204">
        <f t="shared" si="15"/>
        <v>43.49995650186653</v>
      </c>
      <c r="BN11" s="204">
        <f t="shared" si="15"/>
        <v>41.826881251794724</v>
      </c>
      <c r="BO11" s="205">
        <f>SUM(BC11:BN11)</f>
        <v>612.3455415262754</v>
      </c>
      <c r="BP11" s="204">
        <f aca="true" t="shared" si="16" ref="BP11:CA11">BP9</f>
        <v>40.153806001722934</v>
      </c>
      <c r="BQ11" s="204">
        <f t="shared" si="16"/>
        <v>38.480730751651144</v>
      </c>
      <c r="BR11" s="204">
        <f t="shared" si="16"/>
        <v>36.807655501579355</v>
      </c>
      <c r="BS11" s="204">
        <f t="shared" si="16"/>
        <v>35.13458025150756</v>
      </c>
      <c r="BT11" s="204">
        <f t="shared" si="16"/>
        <v>33.46150500143576</v>
      </c>
      <c r="BU11" s="204">
        <f t="shared" si="16"/>
        <v>31.788429751363974</v>
      </c>
      <c r="BV11" s="204">
        <f t="shared" si="16"/>
        <v>30.115354501292178</v>
      </c>
      <c r="BW11" s="204">
        <f t="shared" si="16"/>
        <v>28.442279251220388</v>
      </c>
      <c r="BX11" s="204">
        <f t="shared" si="16"/>
        <v>26.769204001148594</v>
      </c>
      <c r="BY11" s="204">
        <f t="shared" si="16"/>
        <v>25.096128751076805</v>
      </c>
      <c r="BZ11" s="204">
        <f t="shared" si="16"/>
        <v>23.42305350100501</v>
      </c>
      <c r="CA11" s="204">
        <f t="shared" si="16"/>
        <v>21.749978250933214</v>
      </c>
      <c r="CB11" s="205">
        <f>SUM(BP11:CA11)</f>
        <v>371.4227055159369</v>
      </c>
      <c r="CC11" s="204">
        <f aca="true" t="shared" si="17" ref="CC11:CN11">CC9</f>
        <v>20.076903000861424</v>
      </c>
      <c r="CD11" s="204">
        <f t="shared" si="17"/>
        <v>18.403827750789628</v>
      </c>
      <c r="CE11" s="204">
        <f t="shared" si="17"/>
        <v>16.73075250071783</v>
      </c>
      <c r="CF11" s="204">
        <f t="shared" si="17"/>
        <v>15.057677250646037</v>
      </c>
      <c r="CG11" s="204">
        <f t="shared" si="17"/>
        <v>13.384602000574242</v>
      </c>
      <c r="CH11" s="204">
        <f t="shared" si="17"/>
        <v>11.711526750502449</v>
      </c>
      <c r="CI11" s="204">
        <f t="shared" si="17"/>
        <v>10.038451500430654</v>
      </c>
      <c r="CJ11" s="204">
        <f t="shared" si="17"/>
        <v>8.365376250358858</v>
      </c>
      <c r="CK11" s="204">
        <f t="shared" si="17"/>
        <v>6.692301000287063</v>
      </c>
      <c r="CL11" s="204">
        <f t="shared" si="17"/>
        <v>5.019225750215269</v>
      </c>
      <c r="CM11" s="204">
        <f t="shared" si="17"/>
        <v>3.3461505001434735</v>
      </c>
      <c r="CN11" s="204">
        <f t="shared" si="17"/>
        <v>1.673075250071679</v>
      </c>
      <c r="CO11" s="205">
        <f>SUM(CC11:CN11)</f>
        <v>130.4998695055986</v>
      </c>
      <c r="CP11" s="206" t="s">
        <v>63</v>
      </c>
    </row>
    <row r="12" spans="1:94" ht="12.75">
      <c r="A12" s="198" t="s">
        <v>17</v>
      </c>
      <c r="B12" s="203">
        <f>CO12</f>
        <v>-1.1539214028744027E-11</v>
      </c>
      <c r="C12" s="204">
        <f>C7</f>
        <v>3809.5487500000004</v>
      </c>
      <c r="D12" s="204">
        <f>C12+D7-D10+D8</f>
        <v>8704.0975</v>
      </c>
      <c r="E12" s="204">
        <f>D12+E7-E10+E8</f>
        <v>10494.6975</v>
      </c>
      <c r="F12" s="204">
        <f>E12+F7-F10+F8</f>
        <v>11150.612802</v>
      </c>
      <c r="G12" s="204">
        <f aca="true" t="shared" si="18" ref="G12:M12">F12+G7-G10+G8</f>
        <v>11646.928103999999</v>
      </c>
      <c r="H12" s="204">
        <f>G12+H7-H10+H8</f>
        <v>13049.986950559998</v>
      </c>
      <c r="I12" s="204">
        <f t="shared" si="18"/>
        <v>12882.679425552818</v>
      </c>
      <c r="J12" s="204">
        <f t="shared" si="18"/>
        <v>12715.371900545639</v>
      </c>
      <c r="K12" s="204">
        <f t="shared" si="18"/>
        <v>12548.064375538459</v>
      </c>
      <c r="L12" s="204">
        <f t="shared" si="18"/>
        <v>12380.75685053128</v>
      </c>
      <c r="M12" s="204">
        <f t="shared" si="18"/>
        <v>12213.4493255241</v>
      </c>
      <c r="N12" s="204">
        <f>M12+N7-N10+N8</f>
        <v>12046.14180051692</v>
      </c>
      <c r="O12" s="205">
        <f>N12</f>
        <v>12046.14180051692</v>
      </c>
      <c r="P12" s="204">
        <f>O12+P7-P10+P8</f>
        <v>11878.83427550974</v>
      </c>
      <c r="Q12" s="204">
        <f aca="true" t="shared" si="19" ref="Q12:Z12">P12+Q7-Q10+Q8</f>
        <v>11711.52675050256</v>
      </c>
      <c r="R12" s="204">
        <f t="shared" si="19"/>
        <v>11544.21922549538</v>
      </c>
      <c r="S12" s="204">
        <f t="shared" si="19"/>
        <v>11376.911700488201</v>
      </c>
      <c r="T12" s="204">
        <f t="shared" si="19"/>
        <v>11209.604175481021</v>
      </c>
      <c r="U12" s="204">
        <f t="shared" si="19"/>
        <v>11042.296650473842</v>
      </c>
      <c r="V12" s="204">
        <f t="shared" si="19"/>
        <v>10874.989125466662</v>
      </c>
      <c r="W12" s="204">
        <f t="shared" si="19"/>
        <v>10707.681600459482</v>
      </c>
      <c r="X12" s="204">
        <f t="shared" si="19"/>
        <v>10540.374075452302</v>
      </c>
      <c r="Y12" s="204">
        <f t="shared" si="19"/>
        <v>10373.066550445123</v>
      </c>
      <c r="Z12" s="204">
        <f t="shared" si="19"/>
        <v>10205.759025437943</v>
      </c>
      <c r="AA12" s="204">
        <f>Z12+AA7-AA10+AA8</f>
        <v>10038.451500430763</v>
      </c>
      <c r="AB12" s="205">
        <f>AA12</f>
        <v>10038.451500430763</v>
      </c>
      <c r="AC12" s="204">
        <f>AB12+AC7-AC10+AC8</f>
        <v>9871.143975423583</v>
      </c>
      <c r="AD12" s="204">
        <f aca="true" t="shared" si="20" ref="AD12:AN12">AC12+AD7-AD10+AD8</f>
        <v>9703.836450416404</v>
      </c>
      <c r="AE12" s="204">
        <f t="shared" si="20"/>
        <v>9536.528925409224</v>
      </c>
      <c r="AF12" s="204">
        <f t="shared" si="20"/>
        <v>9369.221400402044</v>
      </c>
      <c r="AG12" s="204">
        <f t="shared" si="20"/>
        <v>9201.913875394865</v>
      </c>
      <c r="AH12" s="204">
        <f t="shared" si="20"/>
        <v>9034.606350387685</v>
      </c>
      <c r="AI12" s="204">
        <f t="shared" si="20"/>
        <v>8867.298825380505</v>
      </c>
      <c r="AJ12" s="204">
        <f t="shared" si="20"/>
        <v>8699.991300373325</v>
      </c>
      <c r="AK12" s="204">
        <f t="shared" si="20"/>
        <v>8532.683775366146</v>
      </c>
      <c r="AL12" s="204">
        <f t="shared" si="20"/>
        <v>8365.376250358966</v>
      </c>
      <c r="AM12" s="204">
        <f t="shared" si="20"/>
        <v>8198.068725351786</v>
      </c>
      <c r="AN12" s="204">
        <f t="shared" si="20"/>
        <v>8030.761200344607</v>
      </c>
      <c r="AO12" s="205">
        <f>AN12</f>
        <v>8030.761200344607</v>
      </c>
      <c r="AP12" s="204">
        <f>AO12+AP7-AP10+AP8</f>
        <v>7863.453675337427</v>
      </c>
      <c r="AQ12" s="204">
        <f aca="true" t="shared" si="21" ref="AQ12:BA12">AP12+AQ7-AQ10+AQ8</f>
        <v>7696.146150330247</v>
      </c>
      <c r="AR12" s="204">
        <f t="shared" si="21"/>
        <v>7528.838625323067</v>
      </c>
      <c r="AS12" s="204">
        <f t="shared" si="21"/>
        <v>7361.531100315888</v>
      </c>
      <c r="AT12" s="204">
        <f t="shared" si="21"/>
        <v>7194.223575308708</v>
      </c>
      <c r="AU12" s="204">
        <f t="shared" si="21"/>
        <v>7026.916050301528</v>
      </c>
      <c r="AV12" s="204">
        <f t="shared" si="21"/>
        <v>6859.6085252943485</v>
      </c>
      <c r="AW12" s="204">
        <f t="shared" si="21"/>
        <v>6692.301000287169</v>
      </c>
      <c r="AX12" s="204">
        <f t="shared" si="21"/>
        <v>6524.993475279989</v>
      </c>
      <c r="AY12" s="204">
        <f t="shared" si="21"/>
        <v>6357.685950272809</v>
      </c>
      <c r="AZ12" s="204">
        <f t="shared" si="21"/>
        <v>6190.37842526563</v>
      </c>
      <c r="BA12" s="204">
        <f t="shared" si="21"/>
        <v>6023.07090025845</v>
      </c>
      <c r="BB12" s="205">
        <f>BA12</f>
        <v>6023.07090025845</v>
      </c>
      <c r="BC12" s="204">
        <f>BB12+BC7-BC10+BC8</f>
        <v>5855.76337525127</v>
      </c>
      <c r="BD12" s="204">
        <f aca="true" t="shared" si="22" ref="BD12:BN12">BC12+BD7-BD10+BD8</f>
        <v>5688.4558502440905</v>
      </c>
      <c r="BE12" s="204">
        <f t="shared" si="22"/>
        <v>5521.148325236911</v>
      </c>
      <c r="BF12" s="204">
        <f t="shared" si="22"/>
        <v>5353.840800229731</v>
      </c>
      <c r="BG12" s="204">
        <f t="shared" si="22"/>
        <v>5186.533275222551</v>
      </c>
      <c r="BH12" s="204">
        <f t="shared" si="22"/>
        <v>5019.225750215372</v>
      </c>
      <c r="BI12" s="204">
        <f t="shared" si="22"/>
        <v>4851.918225208192</v>
      </c>
      <c r="BJ12" s="204">
        <f t="shared" si="22"/>
        <v>4684.610700201012</v>
      </c>
      <c r="BK12" s="204">
        <f t="shared" si="22"/>
        <v>4517.303175193832</v>
      </c>
      <c r="BL12" s="204">
        <f t="shared" si="22"/>
        <v>4349.995650186653</v>
      </c>
      <c r="BM12" s="204">
        <f t="shared" si="22"/>
        <v>4182.688125179473</v>
      </c>
      <c r="BN12" s="204">
        <f t="shared" si="22"/>
        <v>4015.3806001722937</v>
      </c>
      <c r="BO12" s="205">
        <f>BN12</f>
        <v>4015.3806001722937</v>
      </c>
      <c r="BP12" s="204">
        <f aca="true" t="shared" si="23" ref="BP12:CA12">BO12+BP7-BP10+BP8</f>
        <v>3848.0730751651145</v>
      </c>
      <c r="BQ12" s="204">
        <f t="shared" si="23"/>
        <v>3680.765550157935</v>
      </c>
      <c r="BR12" s="204">
        <f t="shared" si="23"/>
        <v>3513.458025150756</v>
      </c>
      <c r="BS12" s="204">
        <f t="shared" si="23"/>
        <v>3346.1505001435767</v>
      </c>
      <c r="BT12" s="204">
        <f t="shared" si="23"/>
        <v>3178.8429751363974</v>
      </c>
      <c r="BU12" s="204">
        <f t="shared" si="23"/>
        <v>3011.535450129218</v>
      </c>
      <c r="BV12" s="204">
        <f t="shared" si="23"/>
        <v>2844.227925122039</v>
      </c>
      <c r="BW12" s="204">
        <f t="shared" si="23"/>
        <v>2676.9204001148596</v>
      </c>
      <c r="BX12" s="204">
        <f t="shared" si="23"/>
        <v>2509.6128751076803</v>
      </c>
      <c r="BY12" s="204">
        <f t="shared" si="23"/>
        <v>2342.305350100501</v>
      </c>
      <c r="BZ12" s="204">
        <f t="shared" si="23"/>
        <v>2174.997825093322</v>
      </c>
      <c r="CA12" s="204">
        <f t="shared" si="23"/>
        <v>2007.6903000861423</v>
      </c>
      <c r="CB12" s="205">
        <f>CA12</f>
        <v>2007.6903000861423</v>
      </c>
      <c r="CC12" s="204">
        <f aca="true" t="shared" si="24" ref="CC12:CN12">CB12+CC7-CC10+CC8</f>
        <v>1840.3827750789628</v>
      </c>
      <c r="CD12" s="204">
        <f t="shared" si="24"/>
        <v>1673.0752500717833</v>
      </c>
      <c r="CE12" s="204">
        <f t="shared" si="24"/>
        <v>1505.7677250646038</v>
      </c>
      <c r="CF12" s="204">
        <f t="shared" si="24"/>
        <v>1338.4602000574243</v>
      </c>
      <c r="CG12" s="204">
        <f t="shared" si="24"/>
        <v>1171.1526750502449</v>
      </c>
      <c r="CH12" s="204">
        <f t="shared" si="24"/>
        <v>1003.8451500430654</v>
      </c>
      <c r="CI12" s="204">
        <f t="shared" si="24"/>
        <v>836.5376250358859</v>
      </c>
      <c r="CJ12" s="204">
        <f t="shared" si="24"/>
        <v>669.2301000287064</v>
      </c>
      <c r="CK12" s="204">
        <f t="shared" si="24"/>
        <v>501.9225750215269</v>
      </c>
      <c r="CL12" s="204">
        <f t="shared" si="24"/>
        <v>334.6150500143474</v>
      </c>
      <c r="CM12" s="204">
        <f t="shared" si="24"/>
        <v>167.30752500716792</v>
      </c>
      <c r="CN12" s="204">
        <f t="shared" si="24"/>
        <v>-1.1539214028744027E-11</v>
      </c>
      <c r="CO12" s="205">
        <f>CN12</f>
        <v>-1.1539214028744027E-11</v>
      </c>
      <c r="CP12" s="210">
        <f>MAX(C12:BO12)</f>
        <v>13049.986950559998</v>
      </c>
    </row>
    <row r="13" spans="1:94" ht="12.75">
      <c r="A13" s="187" t="s">
        <v>85</v>
      </c>
      <c r="B13" s="187">
        <f>Исх!C27*12-Исх!C28</f>
        <v>78</v>
      </c>
      <c r="CP13" s="190"/>
    </row>
    <row r="16" ht="12.75">
      <c r="A16" s="211">
        <f>B7+B8-B10</f>
        <v>0</v>
      </c>
    </row>
    <row r="17" ht="12.75">
      <c r="A17" s="211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2012-01-05T07:10:22Z</cp:lastPrinted>
  <dcterms:created xsi:type="dcterms:W3CDTF">2006-03-01T15:11:19Z</dcterms:created>
  <dcterms:modified xsi:type="dcterms:W3CDTF">2012-01-05T07:37:09Z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