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0" activeTab="12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Услуги" sheetId="7" r:id="rId7"/>
    <sheet name="Пост" sheetId="8" r:id="rId8"/>
    <sheet name="ФОТ" sheetId="9" r:id="rId9"/>
    <sheet name="кр" sheetId="10" r:id="rId10"/>
    <sheet name="Инв" sheetId="11" r:id="rId11"/>
    <sheet name="безубыт" sheetId="12" r:id="rId12"/>
    <sheet name="Осн.парам.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7">#REF!</definedName>
    <definedName name="Ed." localSheetId="5">#REF!</definedName>
    <definedName name="Ed." localSheetId="6">#REF!</definedName>
    <definedName name="Ed." localSheetId="8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7">'[7]Свод'!#REF!</definedName>
    <definedName name="RUR" localSheetId="5">'[7]Свод'!#REF!</definedName>
    <definedName name="RUR" localSheetId="6">'[7]Свод'!#REF!</definedName>
    <definedName name="RUR" localSheetId="8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7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8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7">#REF!</definedName>
    <definedName name="ВалП1" localSheetId="5">#REF!</definedName>
    <definedName name="ВалП1" localSheetId="6">#REF!</definedName>
    <definedName name="ВалП1" localSheetId="8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7">'[23]объекты обществаКокшетау'!#REF!</definedName>
    <definedName name="всего_долл" localSheetId="5">'[23]объекты обществаКокшетау'!#REF!</definedName>
    <definedName name="всего_долл" localSheetId="6">'[61]объекты обществаКокшетау'!#REF!</definedName>
    <definedName name="всего_долл" localSheetId="8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7">#REF!</definedName>
    <definedName name="долл" localSheetId="5">#REF!</definedName>
    <definedName name="долл" localSheetId="6">#REF!</definedName>
    <definedName name="долл" localSheetId="8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7">#REF!</definedName>
    <definedName name="дсша" localSheetId="5">#REF!</definedName>
    <definedName name="дсша" localSheetId="6">#REF!</definedName>
    <definedName name="дсша" localSheetId="8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'Инв'!$A:$A,'Инв'!$4:$4</definedName>
    <definedName name="_xlnm.Print_Titles" localSheetId="9">'кр'!$A:$B</definedName>
    <definedName name="_xlnm.Print_Titles" localSheetId="6">'Услуги'!$A:$A</definedName>
    <definedName name="_xlnm.Print_Titles" localSheetId="8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7">#REF!</definedName>
    <definedName name="Инт" localSheetId="5">#REF!</definedName>
    <definedName name="Инт" localSheetId="6">#REF!</definedName>
    <definedName name="Инт" localSheetId="8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7">'[23]объекты обществаКокшетау'!#REF!</definedName>
    <definedName name="итого_в_долл" localSheetId="5">'[23]объекты обществаКокшетау'!#REF!</definedName>
    <definedName name="итого_в_долл" localSheetId="6">'[61]объекты обществаКокшетау'!#REF!</definedName>
    <definedName name="итого_в_долл" localSheetId="8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7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8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7">#REF!</definedName>
    <definedName name="кндс" localSheetId="5">#REF!</definedName>
    <definedName name="кндс" localSheetId="6">#REF!</definedName>
    <definedName name="кндс" localSheetId="8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7">#REF!</definedName>
    <definedName name="компресс" localSheetId="5">#REF!</definedName>
    <definedName name="компресс" localSheetId="6">#REF!</definedName>
    <definedName name="компресс" localSheetId="8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7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8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7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8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7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8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7">'[23]объекты обществаКокшетау'!#REF!</definedName>
    <definedName name="курс_НБРК" localSheetId="5">'[23]объекты обществаКокшетау'!#REF!</definedName>
    <definedName name="курс_НБРК" localSheetId="6">'[61]объекты обществаКокшетау'!#REF!</definedName>
    <definedName name="курс_НБРК" localSheetId="8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7">#REF!</definedName>
    <definedName name="Курс1" localSheetId="5">#REF!</definedName>
    <definedName name="Курс1" localSheetId="6">#REF!</definedName>
    <definedName name="Курс1" localSheetId="8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7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8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7">#REF!</definedName>
    <definedName name="металлоформы" localSheetId="5">#REF!</definedName>
    <definedName name="металлоформы" localSheetId="6">#REF!</definedName>
    <definedName name="металлоформы" localSheetId="8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8">'ФОТ'!#REF!</definedName>
    <definedName name="ндс">'Исх'!$C$19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'1-Ф3'!$A$1:$AJ$39</definedName>
    <definedName name="_xlnm.Print_Area" localSheetId="1">'2-ф2'!$A$1:$AJ$33</definedName>
    <definedName name="_xlnm.Print_Area" localSheetId="2">'3-Баланс'!$A$1:$AJ$26</definedName>
    <definedName name="_xlnm.Print_Area" localSheetId="4">'Дох'!$A$1:$E$18</definedName>
    <definedName name="_xlnm.Print_Area" localSheetId="10">'Инв'!$A$1:$AD$31</definedName>
    <definedName name="_xlnm.Print_Area" localSheetId="9">'кр'!$A$1:$DO$13</definedName>
    <definedName name="_xlnm.Print_Area" localSheetId="12">'Осн.парам.'!$A$1:$K$46</definedName>
    <definedName name="_xlnm.Print_Area" localSheetId="7">'Пост'!$A$1:$X$32</definedName>
    <definedName name="_xlnm.Print_Area" localSheetId="6">'Услуги'!$A$1:$AJ$14</definedName>
    <definedName name="_xlnm.Print_Area" localSheetId="8">'ФОТ'!$A$1:$M$29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7">'2-ф2'!#REF!</definedName>
    <definedName name="обм" localSheetId="5">'2-ф2'!#REF!</definedName>
    <definedName name="обм" localSheetId="6">'Услуги'!#REF!</definedName>
    <definedName name="обм" localSheetId="8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7">#REF!</definedName>
    <definedName name="оборудование_ЖД" localSheetId="5">#REF!</definedName>
    <definedName name="оборудование_ЖД" localSheetId="6">#REF!</definedName>
    <definedName name="оборудование_ЖД" localSheetId="8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7">#REF!</definedName>
    <definedName name="подстанция" localSheetId="5">#REF!</definedName>
    <definedName name="подстанция" localSheetId="6">#REF!</definedName>
    <definedName name="подстанция" localSheetId="8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7">#REF!</definedName>
    <definedName name="рбу" localSheetId="5">#REF!</definedName>
    <definedName name="рбу" localSheetId="6">#REF!</definedName>
    <definedName name="рбу" localSheetId="8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7">#REF!</definedName>
    <definedName name="руб" localSheetId="5">#REF!</definedName>
    <definedName name="руб" localSheetId="6">#REF!</definedName>
    <definedName name="руб" localSheetId="8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7">'2-ф2'!#REF!</definedName>
    <definedName name="себ" localSheetId="5">'2-ф2'!#REF!</definedName>
    <definedName name="себ" localSheetId="6">'Услуги'!#REF!</definedName>
    <definedName name="себ" localSheetId="8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7">#REF!</definedName>
    <definedName name="склад_продукции" localSheetId="5">#REF!</definedName>
    <definedName name="склад_продукции" localSheetId="6">#REF!</definedName>
    <definedName name="склад_продукции" localSheetId="8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7">#REF!</definedName>
    <definedName name="склад_цем" localSheetId="5">#REF!</definedName>
    <definedName name="склад_цем" localSheetId="6">#REF!</definedName>
    <definedName name="склад_цем" localSheetId="8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7">#REF!</definedName>
    <definedName name="спецодежда" localSheetId="5">#REF!</definedName>
    <definedName name="спецодежда" localSheetId="6">#REF!</definedName>
    <definedName name="спецодежда" localSheetId="8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7">#REF!</definedName>
    <definedName name="тг" localSheetId="5">#REF!</definedName>
    <definedName name="тг" localSheetId="6">#REF!</definedName>
    <definedName name="тг" localSheetId="8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7">#REF!</definedName>
    <definedName name="ТовРеал1" localSheetId="5">#REF!</definedName>
    <definedName name="ТовРеал1" localSheetId="6">#REF!</definedName>
    <definedName name="ТовРеал1" localSheetId="8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7">'[9]Дох'!#REF!</definedName>
    <definedName name="Цена_бобов" localSheetId="5">'[9]Дох'!#REF!</definedName>
    <definedName name="Цена_бобов" localSheetId="6">'[9]Дох'!#REF!</definedName>
    <definedName name="Цена_бобов" localSheetId="8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7">#REF!</definedName>
    <definedName name="цех_пби" localSheetId="5">#REF!</definedName>
    <definedName name="цех_пби" localSheetId="6">#REF!</definedName>
    <definedName name="цех_пби" localSheetId="8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<sst xmlns="http://schemas.openxmlformats.org/spreadsheetml/2006/main" count="539" uniqueCount="340">
  <si>
    <t>Итого</t>
  </si>
  <si>
    <t>Налог на имущество</t>
  </si>
  <si>
    <t xml:space="preserve">Наименование          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</si>
  <si>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</si>
  <si>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</si>
  <si>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</si>
  <si>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</si>
  <si>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</si>
  <si>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</si>
  <si>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</si>
  <si>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</si>
  <si>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</si>
  <si>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</si>
  <si>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</si>
  <si>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</si>
  <si>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</si>
  <si>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</si>
  <si>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</si>
  <si>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</si>
  <si>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</si>
  <si>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</si>
  <si>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</si>
  <si>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</si>
  <si>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</si>
  <si>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</si>
  <si>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</si>
  <si>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</si>
  <si>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</si>
  <si>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</si>
  <si>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</si>
  <si>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</si>
  <si>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</si>
  <si>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</si>
  <si>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</si>
  <si>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</si>
  <si>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</si>
  <si>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</si>
  <si>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</si>
  <si>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</si>
  <si>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</si>
  <si>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</si>
  <si>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</si>
  <si>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</si>
  <si>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</si>
  <si>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</si>
  <si>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</si>
  <si>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</si>
  <si>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</si>
  <si>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Остаток на конец отчетного периода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</si>
  <si>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</si>
  <si>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</si>
  <si>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</si>
  <si>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</si>
  <si>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</si>
  <si>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</si>
  <si>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</si>
  <si>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</si>
  <si>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</si>
  <si>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</si>
  <si>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</si>
  <si>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</si>
  <si>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</si>
  <si>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</si>
  <si>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</si>
  <si>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</si>
  <si>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</si>
  <si>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</si>
  <si>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</si>
  <si>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</si>
  <si>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</si>
  <si>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</si>
  <si>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</si>
  <si>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</si>
  <si>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</si>
  <si>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</si>
  <si>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</si>
  <si>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</si>
  <si>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</si>
  <si>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</si>
  <si>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</si>
  <si>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</si>
  <si>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</si>
  <si>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</si>
  <si>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</si>
  <si>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</si>
  <si>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</si>
  <si>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</si>
  <si>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</si>
  <si>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</si>
  <si>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</si>
  <si>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</si>
  <si>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</si>
  <si>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</si>
  <si>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</si>
  <si>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</si>
  <si>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</si>
  <si>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</si>
  <si>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</si>
  <si>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</si>
  <si>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</si>
  <si>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</si>
  <si>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</si>
  <si>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</si>
  <si>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Доход от реализации услуг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</si>
  <si>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</si>
  <si>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</si>
  <si>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</si>
  <si>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</si>
  <si>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</si>
  <si>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</si>
  <si>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</si>
  <si>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</si>
  <si>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</si>
  <si>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</si>
  <si>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</si>
  <si>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</si>
  <si>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</si>
  <si>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кредитам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</si>
  <si>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</si>
  <si>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</si>
  <si>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</si>
  <si>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</si>
  <si>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</si>
  <si>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</si>
  <si>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</si>
  <si>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</si>
  <si>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</si>
  <si>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</si>
  <si>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</si>
  <si>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</si>
  <si>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</si>
  <si>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</si>
  <si>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</si>
  <si>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</si>
  <si>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</si>
  <si>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</si>
  <si>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</si>
  <si>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</si>
  <si>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</si>
  <si>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</si>
  <si>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</si>
  <si>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</si>
  <si>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</si>
  <si>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</si>
  <si>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</si>
  <si>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</si>
  <si>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</si>
  <si>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</si>
  <si>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</si>
  <si>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</si>
  <si>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</si>
  <si>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</si>
  <si>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</si>
  <si>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</si>
  <si>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</si>
  <si>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</si>
  <si>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</si>
  <si>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</si>
  <si>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</si>
  <si>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</si>
  <si>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</si>
  <si>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</si>
  <si>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Льготный период погашения процентов,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</si>
  <si>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</si>
  <si>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</si>
  <si>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</si>
  <si>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</si>
  <si>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</si>
  <si>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Здания и сооружения</t>
  </si>
  <si>
    <t>Наименование</t>
  </si>
  <si>
    <t>Вид налога</t>
  </si>
  <si>
    <t>Сумма, тыс.тг.</t>
  </si>
  <si>
    <t>Техника</t>
  </si>
  <si>
    <t>Срок погашения, лет</t>
  </si>
  <si>
    <t>Сырье и материалы</t>
  </si>
  <si>
    <t>Остаток денежных средств на начало периода</t>
  </si>
  <si>
    <t>Источник финансирования, тыс.тг.</t>
  </si>
  <si>
    <t>Ед.изм.</t>
  </si>
  <si>
    <t>Управляющий</t>
  </si>
  <si>
    <t>Доход до налогообложения</t>
  </si>
  <si>
    <t>Тип погашения основного долга</t>
  </si>
  <si>
    <t>Основные параметры проекта</t>
  </si>
  <si>
    <t>Необходимые средства</t>
  </si>
  <si>
    <t>Финансовые показатели</t>
  </si>
  <si>
    <t>Выплаты по кредитам долгосрочным</t>
  </si>
  <si>
    <t>Кредиторская задолженность</t>
  </si>
  <si>
    <t>Прочие обязательства</t>
  </si>
  <si>
    <t>Структура финансирования</t>
  </si>
  <si>
    <t>Проценты за кредит</t>
  </si>
  <si>
    <t>Поступления по кредитам</t>
  </si>
  <si>
    <t>Поступления по вкладам</t>
  </si>
  <si>
    <t>Разработка бизнес-плана</t>
  </si>
  <si>
    <t>Прочие ОС</t>
  </si>
  <si>
    <t>Приобретение ОС</t>
  </si>
  <si>
    <t>Расчет доходов</t>
  </si>
  <si>
    <t>чел.</t>
  </si>
  <si>
    <t>Примечание</t>
  </si>
  <si>
    <t>Хоз.нужды</t>
  </si>
  <si>
    <t>Канц.товары</t>
  </si>
  <si>
    <t>Прочие</t>
  </si>
  <si>
    <t>Интернет</t>
  </si>
  <si>
    <t>Собственные средства</t>
  </si>
  <si>
    <t>Заработная плата</t>
  </si>
  <si>
    <t>Льготный период погашения осн. долга, мес.</t>
  </si>
  <si>
    <t>Налог на прибыль</t>
  </si>
  <si>
    <t>% повышения</t>
  </si>
  <si>
    <t>Услуги связи</t>
  </si>
  <si>
    <t>Налоги и обязательные платежи от ФОТ</t>
  </si>
  <si>
    <t>Первоначальные инвестиции</t>
  </si>
  <si>
    <t>Реклама</t>
  </si>
  <si>
    <t>Налог на наружную рекламу</t>
  </si>
  <si>
    <t>Постоянные расходы в год</t>
  </si>
  <si>
    <t>от выручки</t>
  </si>
  <si>
    <t>Транш 1</t>
  </si>
  <si>
    <t>Аннуитет</t>
  </si>
  <si>
    <t>Транш 2</t>
  </si>
  <si>
    <t>Транш 3</t>
  </si>
  <si>
    <t>Налог на прибыль ИП</t>
  </si>
  <si>
    <t>НК РК</t>
  </si>
  <si>
    <t>Сырье и материалы (продукты)</t>
  </si>
  <si>
    <t>Незавершенное строительство</t>
  </si>
  <si>
    <t>Показатели эффективности проекта (8 год)</t>
  </si>
  <si>
    <t>2021 год</t>
  </si>
  <si>
    <t>аннуитет</t>
  </si>
  <si>
    <t>Чистая прибыль</t>
  </si>
  <si>
    <t>Кумулятивная чистая прибыль</t>
  </si>
  <si>
    <t>Мероприятие</t>
  </si>
  <si>
    <t>Администратор</t>
  </si>
  <si>
    <t>Уборщица</t>
  </si>
  <si>
    <t>Ремонт помещения</t>
  </si>
  <si>
    <t>Доходы</t>
  </si>
  <si>
    <t>Расходы</t>
  </si>
  <si>
    <t>Аренда помещения</t>
  </si>
  <si>
    <t>тыс.тг./мес.</t>
  </si>
  <si>
    <t>Коммунальные расходы</t>
  </si>
  <si>
    <t>расшифровка на листе ФОТ</t>
  </si>
  <si>
    <t>Разработка фирменного стиля</t>
  </si>
  <si>
    <t>Разработка сайта</t>
  </si>
  <si>
    <t>Altel 4G</t>
  </si>
  <si>
    <t>снятие наличных, переводы</t>
  </si>
  <si>
    <t>6 мес. - льготный период (аренда не платится), с августа 13 г. по январь 14 г. (включительно)</t>
  </si>
  <si>
    <t>Нагрузка на одного преподавателя</t>
  </si>
  <si>
    <t>час./мес</t>
  </si>
  <si>
    <t>3 группы * 12 часов в месяц</t>
  </si>
  <si>
    <t>Цена мес.абонемента на груп.занятия</t>
  </si>
  <si>
    <t>тг./мес.</t>
  </si>
  <si>
    <t>Цена индивидуального занятия</t>
  </si>
  <si>
    <t>тг./занятие</t>
  </si>
  <si>
    <t>тг./пакет</t>
  </si>
  <si>
    <t>Цена пакета Wedding program,  постановка корпоративных номеров</t>
  </si>
  <si>
    <t>Аренда танцевальных залов</t>
  </si>
  <si>
    <t>тг./час</t>
  </si>
  <si>
    <t>Групповые занятия</t>
  </si>
  <si>
    <t>Среднее число групп</t>
  </si>
  <si>
    <t>групп</t>
  </si>
  <si>
    <t>чел./мес.</t>
  </si>
  <si>
    <t>Индивидуальные занятия</t>
  </si>
  <si>
    <t>час/мес</t>
  </si>
  <si>
    <t>примерно 1 занятие в мес. на одного обучающегося</t>
  </si>
  <si>
    <t>Wedding program + корп.номера</t>
  </si>
  <si>
    <t>пакет/мес.</t>
  </si>
  <si>
    <t>Средний чек по буфету</t>
  </si>
  <si>
    <t>тг.</t>
  </si>
  <si>
    <t>чел/мес</t>
  </si>
  <si>
    <t>Число посетителей буфета</t>
  </si>
  <si>
    <t>Зар.плата от групповых занятий</t>
  </si>
  <si>
    <t>исходя из 3 000 тг/час</t>
  </si>
  <si>
    <t>Доля товара в цене продукции буфета</t>
  </si>
  <si>
    <t>Средн. число обучающихся в 1 группе</t>
  </si>
  <si>
    <t>Буфет</t>
  </si>
  <si>
    <t>Танцевальные залы</t>
  </si>
  <si>
    <t>Офис</t>
  </si>
  <si>
    <t>Статья доходов</t>
  </si>
  <si>
    <t>Указан максимальный доход на 2013 - 2014 годы</t>
  </si>
  <si>
    <t>Wedding program, постановка корпоративных номеров</t>
  </si>
  <si>
    <t>Цена, тг.</t>
  </si>
  <si>
    <t>в месяц</t>
  </si>
  <si>
    <t>час</t>
  </si>
  <si>
    <t>пакет</t>
  </si>
  <si>
    <t>Зар.плата от индив. занятий + пакеты</t>
  </si>
  <si>
    <t>Статья расходов</t>
  </si>
  <si>
    <t>тыс.тг./на 1 гр. в мес.</t>
  </si>
  <si>
    <t>исходя из 12 часов * 3 тыс.тг./час</t>
  </si>
  <si>
    <t>Расчет переменных расходов</t>
  </si>
  <si>
    <t>Выполнение плана (от сред.), %</t>
  </si>
  <si>
    <t>примерно по 3 часа в день (по часу на каждый зал)</t>
  </si>
  <si>
    <t>Величина налоговых поступлений за 8 лет, тыс.тг.</t>
  </si>
  <si>
    <t>Прочие налоги и сборы</t>
  </si>
  <si>
    <t>Производственная программа (среднемесячная)</t>
  </si>
  <si>
    <t>Мощность</t>
  </si>
  <si>
    <t>Выручка от реализации</t>
  </si>
  <si>
    <t>Рентабельность продаж</t>
  </si>
  <si>
    <t>Чистая рентабельность</t>
  </si>
  <si>
    <t>Чистый денежный поток к распределению</t>
  </si>
  <si>
    <t>Поиск помещения, проведение переговоров</t>
  </si>
  <si>
    <t>Приобретение и установка оборудования</t>
  </si>
  <si>
    <t>Разработка концепции заведения и фирменного стиля</t>
  </si>
  <si>
    <t>Размещение рекламы</t>
  </si>
  <si>
    <t>Набор персонала</t>
  </si>
  <si>
    <t>Открытие студии</t>
  </si>
  <si>
    <t>исходя из предположения, что 25% обучающихся будут помещать буфет раз в нед., 25% - 2 раза в нед., 25% - 3 раза в нед., 25% - не будут посещать</t>
  </si>
  <si>
    <t>-</t>
  </si>
  <si>
    <t>НК РК, общеустановленный режим для ИП</t>
  </si>
  <si>
    <t>Объемы на первоначальном этапе</t>
  </si>
  <si>
    <t>нет необходимости вставать на учет по НДС (обороты не превышают 30 000 * 1 731 (МРП) = 51 930 тыс.тг. / 12 мес. = 4 327,5 тыс.тг. в месяц)</t>
  </si>
  <si>
    <t>Барная стойка</t>
  </si>
  <si>
    <t>Холодильник</t>
  </si>
  <si>
    <t>Микроволновая печь</t>
  </si>
  <si>
    <t>Ноутбук</t>
  </si>
  <si>
    <t>Принтер+сканер+ксерокс</t>
  </si>
  <si>
    <t>Паркет</t>
  </si>
  <si>
    <t>Зеркала</t>
  </si>
  <si>
    <t>Стойки</t>
  </si>
  <si>
    <t>Скамейки</t>
  </si>
  <si>
    <t>Чайник</t>
  </si>
  <si>
    <t>Посуда</t>
  </si>
  <si>
    <t>Стол</t>
  </si>
  <si>
    <t>Кресло</t>
  </si>
  <si>
    <t>Стулья</t>
  </si>
  <si>
    <t>Кассовый аппарат</t>
  </si>
  <si>
    <t xml:space="preserve"> </t>
  </si>
  <si>
    <t>http://satu.kz/Parket</t>
  </si>
  <si>
    <t>http://satu.kz/p1159000-rezka-zerkalo.html</t>
  </si>
  <si>
    <t>300 м2 * 1800 тг./м2 в мес.</t>
  </si>
  <si>
    <t>год</t>
  </si>
  <si>
    <t>Индекс окупаемости (PI)</t>
  </si>
  <si>
    <t>метод WACC</t>
  </si>
  <si>
    <t>Объем оказываемых услуг</t>
  </si>
  <si>
    <t>Услуга</t>
  </si>
  <si>
    <t>июн</t>
  </si>
  <si>
    <t>июл</t>
  </si>
  <si>
    <t>авг</t>
  </si>
  <si>
    <t>сен</t>
  </si>
  <si>
    <t>окт</t>
  </si>
  <si>
    <t>ноя</t>
  </si>
  <si>
    <t>дек</t>
  </si>
  <si>
    <t>Себестоимость реализ. услуг</t>
  </si>
  <si>
    <t>Доход от реализации</t>
  </si>
  <si>
    <t>Полная себестоимость</t>
  </si>
  <si>
    <t>Открытие танцевальных студий и обучение танцам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</si>
</sst>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i/>
      <sz val="8"/>
      <color indexed="62"/>
      <name val="Arial"/>
      <family val="2"/>
    </font>
    <font>
      <i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i/>
      <sz val="8"/>
      <color theme="3" tint="0.39998000860214233"/>
      <name val="Arial"/>
      <family val="2"/>
    </font>
    <font>
      <i/>
      <sz val="8"/>
      <color theme="0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66" applyFont="1" applyBorder="1" applyAlignment="1">
      <alignment vertical="center"/>
      <protection/>
    </xf>
    <xf numFmtId="3" fontId="5" fillId="0" borderId="0" xfId="66" applyNumberFormat="1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6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6" applyFont="1" applyBorder="1" applyAlignment="1">
      <alignment vertical="center"/>
      <protection/>
    </xf>
    <xf numFmtId="3" fontId="5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Border="1" applyAlignment="1">
      <alignment vertical="center"/>
      <protection/>
    </xf>
    <xf numFmtId="3" fontId="16" fillId="0" borderId="10" xfId="66" applyNumberFormat="1" applyFont="1" applyFill="1" applyBorder="1" applyAlignment="1">
      <alignment horizontal="right" vertical="center"/>
      <protection/>
    </xf>
    <xf numFmtId="0" fontId="16" fillId="2" borderId="11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0" borderId="10" xfId="66" applyNumberFormat="1" applyFont="1" applyFill="1" applyBorder="1" applyAlignment="1">
      <alignment horizontal="right" vertical="center"/>
      <protection/>
    </xf>
    <xf numFmtId="9" fontId="16" fillId="0" borderId="10" xfId="66" applyNumberFormat="1" applyFont="1" applyFill="1" applyBorder="1" applyAlignment="1">
      <alignment horizontal="right" vertical="center"/>
      <protection/>
    </xf>
    <xf numFmtId="177" fontId="5" fillId="0" borderId="10" xfId="66" applyNumberFormat="1" applyFont="1" applyFill="1" applyBorder="1" applyAlignment="1">
      <alignment horizontal="right" vertical="center"/>
      <protection/>
    </xf>
    <xf numFmtId="0" fontId="16" fillId="0" borderId="0" xfId="66" applyFont="1" applyAlignment="1">
      <alignment vertical="center"/>
      <protection/>
    </xf>
    <xf numFmtId="0" fontId="5" fillId="0" borderId="10" xfId="66" applyFont="1" applyBorder="1" applyAlignment="1">
      <alignment vertical="center" wrapText="1"/>
      <protection/>
    </xf>
    <xf numFmtId="3" fontId="5" fillId="2" borderId="10" xfId="66" applyNumberFormat="1" applyFont="1" applyFill="1" applyBorder="1" applyAlignment="1">
      <alignment horizontal="right" vertical="center"/>
      <protection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0" fontId="4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5" fillId="0" borderId="11" xfId="71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vertical="center" wrapText="1"/>
    </xf>
    <xf numFmtId="9" fontId="5" fillId="0" borderId="14" xfId="71" applyNumberFormat="1" applyFont="1" applyFill="1" applyBorder="1" applyAlignment="1">
      <alignment horizontal="center" vertical="center"/>
      <protection/>
    </xf>
    <xf numFmtId="9" fontId="5" fillId="35" borderId="14" xfId="71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16" fillId="2" borderId="10" xfId="0" applyFont="1" applyFill="1" applyBorder="1" applyAlignment="1">
      <alignment wrapText="1"/>
    </xf>
    <xf numFmtId="172" fontId="67" fillId="0" borderId="0" xfId="70" applyNumberFormat="1" applyFont="1" applyFill="1" applyBorder="1" applyAlignment="1">
      <alignment horizontal="center" wrapText="1" shrinkToFit="1"/>
      <protection/>
    </xf>
    <xf numFmtId="3" fontId="68" fillId="0" borderId="0" xfId="70" applyNumberFormat="1" applyFont="1" applyFill="1" applyBorder="1">
      <alignment/>
      <protection/>
    </xf>
    <xf numFmtId="9" fontId="5" fillId="0" borderId="0" xfId="0" applyNumberFormat="1" applyFont="1" applyAlignment="1">
      <alignment/>
    </xf>
    <xf numFmtId="0" fontId="25" fillId="0" borderId="10" xfId="0" applyFont="1" applyBorder="1" applyAlignment="1">
      <alignment horizontal="justify" vertical="top" wrapText="1"/>
    </xf>
    <xf numFmtId="9" fontId="25" fillId="0" borderId="10" xfId="0" applyNumberFormat="1" applyFont="1" applyBorder="1" applyAlignment="1">
      <alignment horizontal="right" vertical="top" wrapText="1"/>
    </xf>
    <xf numFmtId="3" fontId="5" fillId="0" borderId="15" xfId="71" applyNumberFormat="1" applyFont="1" applyFill="1" applyBorder="1" applyAlignment="1">
      <alignment/>
      <protection/>
    </xf>
    <xf numFmtId="0" fontId="16" fillId="2" borderId="10" xfId="66" applyFont="1" applyFill="1" applyBorder="1" applyAlignment="1">
      <alignment vertical="center"/>
      <protection/>
    </xf>
    <xf numFmtId="3" fontId="16" fillId="2" borderId="10" xfId="66" applyNumberFormat="1" applyFont="1" applyFill="1" applyBorder="1" applyAlignment="1">
      <alignment horizontal="right" vertical="center"/>
      <protection/>
    </xf>
    <xf numFmtId="173" fontId="5" fillId="0" borderId="10" xfId="66" applyNumberFormat="1" applyFont="1" applyFill="1" applyBorder="1" applyAlignment="1">
      <alignment horizontal="righ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85" fontId="5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3" fontId="5" fillId="0" borderId="0" xfId="71" applyNumberFormat="1" applyFont="1" applyFill="1" applyBorder="1" applyAlignment="1">
      <alignment/>
      <protection/>
    </xf>
    <xf numFmtId="0" fontId="5" fillId="0" borderId="0" xfId="71" applyFont="1" applyFill="1" applyBorder="1" applyAlignment="1">
      <alignment horizontal="right"/>
      <protection/>
    </xf>
    <xf numFmtId="173" fontId="5" fillId="33" borderId="10" xfId="0" applyNumberFormat="1" applyFont="1" applyFill="1" applyBorder="1" applyAlignment="1">
      <alignment vertical="center"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16" fillId="2" borderId="10" xfId="0" applyFont="1" applyFill="1" applyBorder="1" applyAlignment="1">
      <alignment horizontal="center" wrapText="1"/>
    </xf>
    <xf numFmtId="3" fontId="5" fillId="0" borderId="0" xfId="70" applyNumberFormat="1" applyFont="1" applyFill="1" applyBorder="1">
      <alignment/>
      <protection/>
    </xf>
    <xf numFmtId="0" fontId="17" fillId="0" borderId="0" xfId="0" applyFont="1" applyAlignment="1">
      <alignment/>
    </xf>
    <xf numFmtId="3" fontId="5" fillId="35" borderId="10" xfId="0" applyNumberFormat="1" applyFont="1" applyFill="1" applyBorder="1" applyAlignment="1">
      <alignment horizontal="right"/>
    </xf>
    <xf numFmtId="173" fontId="5" fillId="0" borderId="0" xfId="0" applyNumberFormat="1" applyFont="1" applyAlignment="1">
      <alignment/>
    </xf>
    <xf numFmtId="0" fontId="17" fillId="0" borderId="10" xfId="66" applyFont="1" applyBorder="1" applyAlignment="1">
      <alignment vertical="center"/>
      <protection/>
    </xf>
    <xf numFmtId="3" fontId="17" fillId="0" borderId="10" xfId="66" applyNumberFormat="1" applyFont="1" applyFill="1" applyBorder="1" applyAlignment="1">
      <alignment horizontal="righ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" fontId="5" fillId="0" borderId="0" xfId="0" applyNumberFormat="1" applyFont="1" applyAlignment="1">
      <alignment/>
    </xf>
    <xf numFmtId="0" fontId="16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9" fontId="17" fillId="35" borderId="10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3" fontId="16" fillId="2" borderId="10" xfId="67" applyNumberFormat="1" applyFont="1" applyFill="1" applyBorder="1" applyAlignment="1">
      <alignment horizontal="center" vertical="center"/>
      <protection/>
    </xf>
    <xf numFmtId="49" fontId="16" fillId="0" borderId="10" xfId="0" applyNumberFormat="1" applyFont="1" applyBorder="1" applyAlignment="1">
      <alignment horizontal="left" wrapText="1"/>
    </xf>
    <xf numFmtId="0" fontId="17" fillId="0" borderId="16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21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Border="1" applyAlignment="1" applyProtection="1">
      <alignment horizontal="center"/>
      <protection locked="0"/>
    </xf>
    <xf numFmtId="173" fontId="17" fillId="0" borderId="10" xfId="65" applyNumberFormat="1" applyFont="1" applyFill="1" applyBorder="1" applyProtection="1">
      <alignment/>
      <protection locked="0"/>
    </xf>
    <xf numFmtId="0" fontId="16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Protection="1">
      <alignment/>
      <protection locked="0"/>
    </xf>
    <xf numFmtId="0" fontId="17" fillId="0" borderId="10" xfId="65" applyFont="1" applyFill="1" applyBorder="1" applyProtection="1">
      <alignment/>
      <protection locked="0"/>
    </xf>
    <xf numFmtId="172" fontId="17" fillId="0" borderId="10" xfId="65" applyNumberFormat="1" applyFont="1" applyFill="1" applyBorder="1" applyAlignment="1" applyProtection="1">
      <alignment/>
      <protection locked="0"/>
    </xf>
    <xf numFmtId="3" fontId="5" fillId="35" borderId="10" xfId="70" applyNumberFormat="1" applyFont="1" applyFill="1" applyBorder="1" applyAlignment="1">
      <alignment horizontal="right"/>
      <protection/>
    </xf>
    <xf numFmtId="0" fontId="17" fillId="0" borderId="0" xfId="66" applyFont="1">
      <alignment/>
      <protection/>
    </xf>
    <xf numFmtId="0" fontId="16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9" fontId="5" fillId="0" borderId="11" xfId="66" applyNumberFormat="1" applyFont="1" applyFill="1" applyBorder="1" applyAlignment="1">
      <alignment horizontal="center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wrapText="1"/>
    </xf>
    <xf numFmtId="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/>
    </xf>
    <xf numFmtId="9" fontId="5" fillId="0" borderId="10" xfId="0" applyNumberFormat="1" applyFont="1" applyFill="1" applyBorder="1" applyAlignment="1">
      <alignment horizontal="right"/>
    </xf>
    <xf numFmtId="3" fontId="5" fillId="35" borderId="14" xfId="70" applyNumberFormat="1" applyFont="1" applyFill="1" applyBorder="1" applyAlignment="1">
      <alignment horizontal="center" vertical="center"/>
      <protection/>
    </xf>
    <xf numFmtId="9" fontId="5" fillId="0" borderId="11" xfId="66" applyNumberFormat="1" applyFont="1" applyFill="1" applyBorder="1" applyAlignment="1">
      <alignment vertical="center"/>
      <protection/>
    </xf>
    <xf numFmtId="9" fontId="5" fillId="0" borderId="10" xfId="66" applyNumberFormat="1" applyFont="1" applyFill="1" applyBorder="1" applyAlignment="1">
      <alignment horizontal="center" vertical="center"/>
      <protection/>
    </xf>
    <xf numFmtId="3" fontId="5" fillId="0" borderId="10" xfId="66" applyNumberFormat="1" applyFont="1" applyFill="1" applyBorder="1" applyAlignment="1">
      <alignment horizontal="center" vertical="center"/>
      <protection/>
    </xf>
    <xf numFmtId="3" fontId="17" fillId="0" borderId="10" xfId="66" applyNumberFormat="1" applyFont="1" applyFill="1" applyBorder="1" applyAlignment="1">
      <alignment horizontal="center" vertical="center"/>
      <protection/>
    </xf>
    <xf numFmtId="3" fontId="5" fillId="0" borderId="0" xfId="66" applyNumberFormat="1" applyFont="1">
      <alignment/>
      <protection/>
    </xf>
    <xf numFmtId="3" fontId="16" fillId="0" borderId="10" xfId="0" applyNumberFormat="1" applyFont="1" applyFill="1" applyBorder="1" applyAlignment="1">
      <alignment/>
    </xf>
    <xf numFmtId="0" fontId="1" fillId="0" borderId="0" xfId="53" applyAlignment="1" applyProtection="1">
      <alignment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left" vertical="top" wrapText="1"/>
      <protection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7" xfId="70" applyNumberFormat="1" applyFont="1" applyFill="1" applyBorder="1" applyAlignment="1">
      <alignment horizontal="center" vertical="center"/>
      <protection/>
    </xf>
    <xf numFmtId="0" fontId="16" fillId="34" borderId="17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9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9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34" borderId="18" xfId="71" applyFont="1" applyFill="1" applyBorder="1" applyAlignment="1">
      <alignment horizontal="center" vertical="center"/>
      <protection/>
    </xf>
    <xf numFmtId="0" fontId="16" fillId="34" borderId="19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 wrapText="1"/>
      <protection/>
    </xf>
    <xf numFmtId="0" fontId="16" fillId="34" borderId="14" xfId="71" applyFont="1" applyFill="1" applyBorder="1" applyAlignment="1">
      <alignment horizontal="center" vertical="center" wrapText="1"/>
      <protection/>
    </xf>
    <xf numFmtId="0" fontId="5" fillId="0" borderId="13" xfId="71" applyFont="1" applyFill="1" applyBorder="1" applyAlignment="1">
      <alignment horizontal="left" vertical="center"/>
      <protection/>
    </xf>
    <xf numFmtId="0" fontId="5" fillId="0" borderId="14" xfId="7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7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7" applyFont="1" applyFill="1" applyBorder="1" applyAlignment="1">
      <alignment horizontal="left" vertical="center"/>
      <protection/>
    </xf>
    <xf numFmtId="0" fontId="16" fillId="2" borderId="14" xfId="67" applyFont="1" applyFill="1" applyBorder="1" applyAlignment="1">
      <alignment horizontal="lef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13" xfId="66" applyFont="1" applyBorder="1" applyAlignment="1">
      <alignment horizontal="left" vertical="center"/>
      <protection/>
    </xf>
    <xf numFmtId="0" fontId="5" fillId="0" borderId="14" xfId="66" applyFont="1" applyBorder="1" applyAlignment="1">
      <alignment horizontal="left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satu.kz/Parket" TargetMode="External" /><Relationship Id="rId2" Type="http://schemas.openxmlformats.org/officeDocument/2006/relationships/hyperlink" Target="http://satu.kz/p1159000-rezka-zerkalo.html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46"/>
  <sheetViews>
    <sheetView showGridLines="0" showZeros="0" zoomScalePageLayoutView="0" workbookViewId="0" topLeftCell="A1">
      <pane xSplit="3" ySplit="6" topLeftCell="P16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55" sqref="B55"/>
    </sheetView>
  </sheetViews>
  <sheetFormatPr defaultColWidth="8.625" defaultRowHeight="12.75" outlineLevelRow="1" outlineLevelCol="1"/>
  <cols>
    <col min="1" max="1" width="38.375" style="59" customWidth="1"/>
    <col min="2" max="2" width="10.125" style="60" customWidth="1"/>
    <col min="3" max="3" width="1.875" style="60" customWidth="1"/>
    <col min="4" max="4" width="8.375" style="6" hidden="1" customWidth="1" outlineLevel="1"/>
    <col min="5" max="5" width="7.75390625" style="6" hidden="1" customWidth="1" outlineLevel="1"/>
    <col min="6" max="6" width="8.125" style="6" hidden="1" customWidth="1" outlineLevel="1"/>
    <col min="7" max="7" width="7.75390625" style="56" hidden="1" customWidth="1" outlineLevel="1"/>
    <col min="8" max="8" width="8.125" style="6" hidden="1" customWidth="1" outlineLevel="1"/>
    <col min="9" max="9" width="7.75390625" style="6" hidden="1" customWidth="1" outlineLevel="1"/>
    <col min="10" max="10" width="8.125" style="6" hidden="1" customWidth="1" outlineLevel="1"/>
    <col min="11" max="11" width="7.75390625" style="6" hidden="1" customWidth="1" outlineLevel="1"/>
    <col min="12" max="12" width="8.125" style="6" hidden="1" customWidth="1" outlineLevel="1"/>
    <col min="13" max="13" width="7.875" style="6" hidden="1" customWidth="1" outlineLevel="1"/>
    <col min="14" max="14" width="8.375" style="6" hidden="1" customWidth="1" outlineLevel="1"/>
    <col min="15" max="15" width="8.125" style="6" hidden="1" customWidth="1" outlineLevel="1"/>
    <col min="16" max="16" width="8.25390625" style="7" customWidth="1" collapsed="1"/>
    <col min="17" max="20" width="7.625" style="6" hidden="1" customWidth="1" outlineLevel="1"/>
    <col min="21" max="28" width="8.125" style="6" hidden="1" customWidth="1" outlineLevel="1"/>
    <col min="29" max="29" width="9.125" style="7" bestFit="1" customWidth="1" collapsed="1"/>
    <col min="30" max="32" width="8.125" style="7" bestFit="1" customWidth="1"/>
    <col min="33" max="35" width="8.125" style="8" bestFit="1" customWidth="1"/>
    <col min="36" max="36" width="8.625" style="8" customWidth="1"/>
    <col min="37" max="39" width="8.75390625" style="8" bestFit="1" customWidth="1"/>
    <col min="40" max="43" width="9.125" style="8" bestFit="1" customWidth="1"/>
    <col min="44" max="44" width="9.375" style="8" customWidth="1"/>
    <col min="45" max="16384" width="8.625" style="8" customWidth="1"/>
  </cols>
  <sheetData>
    <row r="1" spans="1:27" ht="12.75">
      <c r="A1" s="61" t="s">
        <v>148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MAX(K39:AF39)</f>
        <v>6071.878681965346</v>
      </c>
      <c r="B2" s="10">
        <f>MIN(I39:AH39)</f>
        <v>-2.5767399374999513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46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Исх!$C$11</f>
        <v>тыс.тг.</v>
      </c>
      <c r="C4" s="1"/>
      <c r="D4" s="265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6" ht="15.75" customHeight="1">
      <c r="A5" s="316" t="s">
        <v>2</v>
      </c>
      <c r="B5" s="318" t="s">
        <v>80</v>
      </c>
      <c r="C5" s="15"/>
      <c r="D5" s="318">
        <v>2013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>
        <v>2014</v>
      </c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15">
        <v>2015</v>
      </c>
      <c r="AE5" s="15">
        <f aca="true" t="shared" si="0" ref="AE5:AJ5">AD5+1</f>
        <v>2016</v>
      </c>
      <c r="AF5" s="15">
        <f t="shared" si="0"/>
        <v>2017</v>
      </c>
      <c r="AG5" s="15">
        <f t="shared" si="0"/>
        <v>2018</v>
      </c>
      <c r="AH5" s="15">
        <f t="shared" si="0"/>
        <v>2019</v>
      </c>
      <c r="AI5" s="15">
        <f t="shared" si="0"/>
        <v>2020</v>
      </c>
      <c r="AJ5" s="15">
        <f t="shared" si="0"/>
        <v>2021</v>
      </c>
    </row>
    <row r="6" spans="1:36" ht="12.75">
      <c r="A6" s="317"/>
      <c r="B6" s="318"/>
      <c r="C6" s="15"/>
      <c r="D6" s="16">
        <v>1</v>
      </c>
      <c r="E6" s="16">
        <f>D6+1</f>
        <v>2</v>
      </c>
      <c r="F6" s="16">
        <f aca="true" t="shared" si="1" ref="F6:O6">E6+1</f>
        <v>3</v>
      </c>
      <c r="G6" s="16">
        <f t="shared" si="1"/>
        <v>4</v>
      </c>
      <c r="H6" s="16">
        <f t="shared" si="1"/>
        <v>5</v>
      </c>
      <c r="I6" s="16">
        <f t="shared" si="1"/>
        <v>6</v>
      </c>
      <c r="J6" s="16">
        <f t="shared" si="1"/>
        <v>7</v>
      </c>
      <c r="K6" s="16">
        <f t="shared" si="1"/>
        <v>8</v>
      </c>
      <c r="L6" s="16">
        <f t="shared" si="1"/>
        <v>9</v>
      </c>
      <c r="M6" s="16">
        <f t="shared" si="1"/>
        <v>10</v>
      </c>
      <c r="N6" s="16">
        <f t="shared" si="1"/>
        <v>11</v>
      </c>
      <c r="O6" s="16">
        <f t="shared" si="1"/>
        <v>12</v>
      </c>
      <c r="P6" s="15" t="s">
        <v>0</v>
      </c>
      <c r="Q6" s="16">
        <v>1</v>
      </c>
      <c r="R6" s="16">
        <f>Q6+1</f>
        <v>2</v>
      </c>
      <c r="S6" s="16">
        <f aca="true" t="shared" si="2" ref="S6:AB6">R6+1</f>
        <v>3</v>
      </c>
      <c r="T6" s="16">
        <f t="shared" si="2"/>
        <v>4</v>
      </c>
      <c r="U6" s="16">
        <f t="shared" si="2"/>
        <v>5</v>
      </c>
      <c r="V6" s="16">
        <f t="shared" si="2"/>
        <v>6</v>
      </c>
      <c r="W6" s="16">
        <f t="shared" si="2"/>
        <v>7</v>
      </c>
      <c r="X6" s="16">
        <f t="shared" si="2"/>
        <v>8</v>
      </c>
      <c r="Y6" s="16">
        <f t="shared" si="2"/>
        <v>9</v>
      </c>
      <c r="Z6" s="16">
        <f t="shared" si="2"/>
        <v>10</v>
      </c>
      <c r="AA6" s="16">
        <f t="shared" si="2"/>
        <v>11</v>
      </c>
      <c r="AB6" s="16">
        <f t="shared" si="2"/>
        <v>12</v>
      </c>
      <c r="AC6" s="15" t="s">
        <v>0</v>
      </c>
      <c r="AD6" s="15" t="s">
        <v>324</v>
      </c>
      <c r="AE6" s="15" t="s">
        <v>324</v>
      </c>
      <c r="AF6" s="15" t="s">
        <v>324</v>
      </c>
      <c r="AG6" s="15" t="s">
        <v>324</v>
      </c>
      <c r="AH6" s="15" t="s">
        <v>324</v>
      </c>
      <c r="AI6" s="15" t="s">
        <v>324</v>
      </c>
      <c r="AJ6" s="15" t="s">
        <v>324</v>
      </c>
    </row>
    <row r="7" spans="1:36" s="21" customFormat="1" ht="25.5">
      <c r="A7" s="17" t="s">
        <v>175</v>
      </c>
      <c r="B7" s="18">
        <f>P7</f>
        <v>0</v>
      </c>
      <c r="C7" s="19"/>
      <c r="D7" s="20">
        <f>C39</f>
        <v>0</v>
      </c>
      <c r="E7" s="20">
        <f aca="true" t="shared" si="3" ref="E7:K7">D39</f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>K39</f>
        <v>0</v>
      </c>
      <c r="M7" s="20">
        <f>L39</f>
        <v>0</v>
      </c>
      <c r="N7" s="20">
        <f>M39</f>
        <v>0</v>
      </c>
      <c r="O7" s="20">
        <f>N39</f>
        <v>154.66042249999998</v>
      </c>
      <c r="P7" s="20">
        <f>D7</f>
        <v>0</v>
      </c>
      <c r="Q7" s="20">
        <f>P39</f>
        <v>420.52981375</v>
      </c>
      <c r="R7" s="20">
        <f aca="true" t="shared" si="4" ref="R7:AA7">Q39</f>
        <v>703.6781880000001</v>
      </c>
      <c r="S7" s="20">
        <f t="shared" si="4"/>
        <v>574.1315622500001</v>
      </c>
      <c r="T7" s="20">
        <f t="shared" si="4"/>
        <v>490.52512912500015</v>
      </c>
      <c r="U7" s="20">
        <f t="shared" si="4"/>
        <v>437.47342881250006</v>
      </c>
      <c r="V7" s="20">
        <f t="shared" si="4"/>
        <v>362.9858866249999</v>
      </c>
      <c r="W7" s="20">
        <f t="shared" si="4"/>
        <v>7.7983444374999635</v>
      </c>
      <c r="X7" s="20">
        <f t="shared" si="4"/>
        <v>52.610802250000006</v>
      </c>
      <c r="Y7" s="20">
        <f t="shared" si="4"/>
        <v>-2.5767399374999513</v>
      </c>
      <c r="Z7" s="20">
        <f t="shared" si="4"/>
        <v>7.3952110761484136</v>
      </c>
      <c r="AA7" s="20">
        <f t="shared" si="4"/>
        <v>15.628228131913502</v>
      </c>
      <c r="AB7" s="20">
        <f>AA39</f>
        <v>109.54683445828013</v>
      </c>
      <c r="AC7" s="20">
        <f>Q7</f>
        <v>420.52981375</v>
      </c>
      <c r="AD7" s="20">
        <f aca="true" t="shared" si="5" ref="AD7:AJ7">AC39</f>
        <v>366.3654407846467</v>
      </c>
      <c r="AE7" s="20">
        <f t="shared" si="5"/>
        <v>1541.8244787010472</v>
      </c>
      <c r="AF7" s="20">
        <f t="shared" si="5"/>
        <v>3731.555387832479</v>
      </c>
      <c r="AG7" s="20">
        <f t="shared" si="5"/>
        <v>6071.878681965346</v>
      </c>
      <c r="AH7" s="20">
        <f t="shared" si="5"/>
        <v>8606.675989414725</v>
      </c>
      <c r="AI7" s="20">
        <f t="shared" si="5"/>
        <v>11301.488839762165</v>
      </c>
      <c r="AJ7" s="20">
        <f t="shared" si="5"/>
        <v>14438.313271526538</v>
      </c>
    </row>
    <row r="8" spans="1:36" s="21" customFormat="1" ht="12.75">
      <c r="A8" s="22" t="s">
        <v>8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21" customFormat="1" ht="12.75">
      <c r="A9" s="26" t="s">
        <v>15</v>
      </c>
      <c r="B9" s="27">
        <f>SUM(B10:B14)</f>
        <v>187584</v>
      </c>
      <c r="C9" s="27"/>
      <c r="D9" s="27">
        <f aca="true" t="shared" si="6" ref="D9:AJ9">SUM(D10:D14)</f>
        <v>0</v>
      </c>
      <c r="E9" s="27">
        <f t="shared" si="6"/>
        <v>0</v>
      </c>
      <c r="F9" s="27">
        <f t="shared" si="6"/>
        <v>0</v>
      </c>
      <c r="G9" s="27">
        <f t="shared" si="6"/>
        <v>0</v>
      </c>
      <c r="H9" s="27">
        <f t="shared" si="6"/>
        <v>0</v>
      </c>
      <c r="I9" s="27">
        <f t="shared" si="6"/>
        <v>0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0</v>
      </c>
      <c r="N9" s="27">
        <f t="shared" si="6"/>
        <v>960</v>
      </c>
      <c r="O9" s="27">
        <f t="shared" si="6"/>
        <v>1152</v>
      </c>
      <c r="P9" s="27">
        <f t="shared" si="6"/>
        <v>2112</v>
      </c>
      <c r="Q9" s="27">
        <f t="shared" si="6"/>
        <v>1248</v>
      </c>
      <c r="R9" s="27">
        <f t="shared" si="6"/>
        <v>1344</v>
      </c>
      <c r="S9" s="27">
        <f t="shared" si="6"/>
        <v>1440</v>
      </c>
      <c r="T9" s="27">
        <f t="shared" si="6"/>
        <v>1536</v>
      </c>
      <c r="U9" s="27">
        <f t="shared" si="6"/>
        <v>1536</v>
      </c>
      <c r="V9" s="27">
        <f t="shared" si="6"/>
        <v>960</v>
      </c>
      <c r="W9" s="27">
        <f t="shared" si="6"/>
        <v>960</v>
      </c>
      <c r="X9" s="27">
        <f t="shared" si="6"/>
        <v>960</v>
      </c>
      <c r="Y9" s="27">
        <f t="shared" si="6"/>
        <v>1536</v>
      </c>
      <c r="Z9" s="27">
        <f t="shared" si="6"/>
        <v>1728</v>
      </c>
      <c r="AA9" s="27">
        <f t="shared" si="6"/>
        <v>1920</v>
      </c>
      <c r="AB9" s="27">
        <f t="shared" si="6"/>
        <v>2112</v>
      </c>
      <c r="AC9" s="27">
        <f t="shared" si="6"/>
        <v>17280</v>
      </c>
      <c r="AD9" s="27">
        <f t="shared" si="6"/>
        <v>19584</v>
      </c>
      <c r="AE9" s="27">
        <f t="shared" si="6"/>
        <v>21888</v>
      </c>
      <c r="AF9" s="27">
        <f t="shared" si="6"/>
        <v>23040</v>
      </c>
      <c r="AG9" s="27">
        <f t="shared" si="6"/>
        <v>24192</v>
      </c>
      <c r="AH9" s="27">
        <f t="shared" si="6"/>
        <v>25344</v>
      </c>
      <c r="AI9" s="27">
        <f t="shared" si="6"/>
        <v>26496</v>
      </c>
      <c r="AJ9" s="27">
        <f t="shared" si="6"/>
        <v>27648</v>
      </c>
    </row>
    <row r="10" spans="1:36" ht="12.75">
      <c r="A10" s="28" t="str">
        <f>'2-ф2'!A6</f>
        <v>Групповые занятия</v>
      </c>
      <c r="B10" s="27">
        <f>P10+AC10+AD10+AE10+AF10+AG10+AH10+AI10+AJ10</f>
        <v>87930</v>
      </c>
      <c r="C10" s="27"/>
      <c r="D10" s="29">
        <f>'2-ф2'!D6*Исх!$C$20</f>
        <v>0</v>
      </c>
      <c r="E10" s="29">
        <f>'2-ф2'!E6*Исх!$C$20</f>
        <v>0</v>
      </c>
      <c r="F10" s="29">
        <f>'2-ф2'!F6*Исх!$C$20</f>
        <v>0</v>
      </c>
      <c r="G10" s="29">
        <f>'2-ф2'!G6*Исх!$C$20</f>
        <v>0</v>
      </c>
      <c r="H10" s="29">
        <f>'2-ф2'!H6*Исх!$C$20</f>
        <v>0</v>
      </c>
      <c r="I10" s="29">
        <f>'2-ф2'!I6*Исх!$C$20</f>
        <v>0</v>
      </c>
      <c r="J10" s="29">
        <f>'2-ф2'!J6*Исх!$C$20</f>
        <v>0</v>
      </c>
      <c r="K10" s="29">
        <f>'2-ф2'!K6*Исх!$C$20</f>
        <v>0</v>
      </c>
      <c r="L10" s="29">
        <f>'2-ф2'!L6*Исх!$C$20</f>
        <v>0</v>
      </c>
      <c r="M10" s="29">
        <f>'2-ф2'!M6*Исх!$C$20</f>
        <v>0</v>
      </c>
      <c r="N10" s="29">
        <f>'2-ф2'!N6*Исх!$C$20</f>
        <v>450</v>
      </c>
      <c r="O10" s="29">
        <f>'2-ф2'!O6*Исх!$C$20</f>
        <v>540</v>
      </c>
      <c r="P10" s="27">
        <f>SUM(D10:O10)</f>
        <v>990</v>
      </c>
      <c r="Q10" s="29">
        <f>'2-ф2'!Q6*Исх!$C$20</f>
        <v>585</v>
      </c>
      <c r="R10" s="29">
        <f>'2-ф2'!R6*Исх!$C$20</f>
        <v>630</v>
      </c>
      <c r="S10" s="29">
        <f>'2-ф2'!S6*Исх!$C$20</f>
        <v>675</v>
      </c>
      <c r="T10" s="29">
        <f>'2-ф2'!T6*Исх!$C$20</f>
        <v>720</v>
      </c>
      <c r="U10" s="29">
        <f>'2-ф2'!U6*Исх!$C$20</f>
        <v>720</v>
      </c>
      <c r="V10" s="29">
        <f>'2-ф2'!V6*Исх!$C$20</f>
        <v>450</v>
      </c>
      <c r="W10" s="29">
        <f>'2-ф2'!W6*Исх!$C$20</f>
        <v>450</v>
      </c>
      <c r="X10" s="29">
        <f>'2-ф2'!X6*Исх!$C$20</f>
        <v>450</v>
      </c>
      <c r="Y10" s="29">
        <f>'2-ф2'!Y6*Исх!$C$20</f>
        <v>720</v>
      </c>
      <c r="Z10" s="29">
        <f>'2-ф2'!Z6*Исх!$C$20</f>
        <v>810</v>
      </c>
      <c r="AA10" s="29">
        <f>'2-ф2'!AA6*Исх!$C$20</f>
        <v>900</v>
      </c>
      <c r="AB10" s="29">
        <f>'2-ф2'!AB6*Исх!$C$20</f>
        <v>990</v>
      </c>
      <c r="AC10" s="27">
        <f>SUM(Q10:AB10)</f>
        <v>8100</v>
      </c>
      <c r="AD10" s="29">
        <f>'2-ф2'!AD6*Исх!$C$20</f>
        <v>9180</v>
      </c>
      <c r="AE10" s="29">
        <f>'2-ф2'!AE6*Исх!$C$20</f>
        <v>10260</v>
      </c>
      <c r="AF10" s="29">
        <f>'2-ф2'!AF6*Исх!$C$20</f>
        <v>10800</v>
      </c>
      <c r="AG10" s="29">
        <f>'2-ф2'!AG6*Исх!$C$20</f>
        <v>11340</v>
      </c>
      <c r="AH10" s="29">
        <f>'2-ф2'!AH6*Исх!$C$20</f>
        <v>11880</v>
      </c>
      <c r="AI10" s="29">
        <f>'2-ф2'!AI6*Исх!$C$20</f>
        <v>12420</v>
      </c>
      <c r="AJ10" s="29">
        <f>'2-ф2'!AJ6*Исх!$C$20</f>
        <v>12960</v>
      </c>
    </row>
    <row r="11" spans="1:36" ht="12.75">
      <c r="A11" s="28" t="str">
        <f>'2-ф2'!A7</f>
        <v>Индивидуальные занятия</v>
      </c>
      <c r="B11" s="27">
        <f>P11+AC11+AD11+AE11+AF11+AG11+AH11+AI11+AJ11</f>
        <v>29310</v>
      </c>
      <c r="C11" s="27"/>
      <c r="D11" s="29">
        <f>'2-ф2'!D7*Исх!$C$20</f>
        <v>0</v>
      </c>
      <c r="E11" s="29">
        <f>'2-ф2'!E7*Исх!$C$20</f>
        <v>0</v>
      </c>
      <c r="F11" s="29">
        <f>'2-ф2'!F7*Исх!$C$20</f>
        <v>0</v>
      </c>
      <c r="G11" s="29">
        <f>'2-ф2'!G7*Исх!$C$20</f>
        <v>0</v>
      </c>
      <c r="H11" s="29">
        <f>'2-ф2'!H7*Исх!$C$20</f>
        <v>0</v>
      </c>
      <c r="I11" s="29">
        <f>'2-ф2'!I7*Исх!$C$20</f>
        <v>0</v>
      </c>
      <c r="J11" s="29">
        <f>'2-ф2'!J7*Исх!$C$20</f>
        <v>0</v>
      </c>
      <c r="K11" s="29">
        <f>'2-ф2'!K7*Исх!$C$20</f>
        <v>0</v>
      </c>
      <c r="L11" s="29">
        <f>'2-ф2'!L7*Исх!$C$20</f>
        <v>0</v>
      </c>
      <c r="M11" s="29">
        <f>'2-ф2'!M7*Исх!$C$20</f>
        <v>0</v>
      </c>
      <c r="N11" s="29">
        <f>'2-ф2'!N7*Исх!$C$20</f>
        <v>150</v>
      </c>
      <c r="O11" s="29">
        <f>'2-ф2'!O7*Исх!$C$20</f>
        <v>180</v>
      </c>
      <c r="P11" s="27">
        <f>SUM(D11:O11)</f>
        <v>330</v>
      </c>
      <c r="Q11" s="29">
        <f>'2-ф2'!Q7*Исх!$C$20</f>
        <v>195</v>
      </c>
      <c r="R11" s="29">
        <f>'2-ф2'!R7*Исх!$C$20</f>
        <v>210</v>
      </c>
      <c r="S11" s="29">
        <f>'2-ф2'!S7*Исх!$C$20</f>
        <v>225</v>
      </c>
      <c r="T11" s="29">
        <f>'2-ф2'!T7*Исх!$C$20</f>
        <v>240</v>
      </c>
      <c r="U11" s="29">
        <f>'2-ф2'!U7*Исх!$C$20</f>
        <v>240</v>
      </c>
      <c r="V11" s="29">
        <f>'2-ф2'!V7*Исх!$C$20</f>
        <v>150</v>
      </c>
      <c r="W11" s="29">
        <f>'2-ф2'!W7*Исх!$C$20</f>
        <v>150</v>
      </c>
      <c r="X11" s="29">
        <f>'2-ф2'!X7*Исх!$C$20</f>
        <v>150</v>
      </c>
      <c r="Y11" s="29">
        <f>'2-ф2'!Y7*Исх!$C$20</f>
        <v>240</v>
      </c>
      <c r="Z11" s="29">
        <f>'2-ф2'!Z7*Исх!$C$20</f>
        <v>270</v>
      </c>
      <c r="AA11" s="29">
        <f>'2-ф2'!AA7*Исх!$C$20</f>
        <v>300</v>
      </c>
      <c r="AB11" s="29">
        <f>'2-ф2'!AB7*Исх!$C$20</f>
        <v>330</v>
      </c>
      <c r="AC11" s="27">
        <f>SUM(Q11:AB11)</f>
        <v>2700</v>
      </c>
      <c r="AD11" s="29">
        <f>'2-ф2'!AD7*Исх!$C$20</f>
        <v>3060</v>
      </c>
      <c r="AE11" s="29">
        <f>'2-ф2'!AE7*Исх!$C$20</f>
        <v>3420</v>
      </c>
      <c r="AF11" s="29">
        <f>'2-ф2'!AF7*Исх!$C$20</f>
        <v>3600</v>
      </c>
      <c r="AG11" s="29">
        <f>'2-ф2'!AG7*Исх!$C$20</f>
        <v>3780</v>
      </c>
      <c r="AH11" s="29">
        <f>'2-ф2'!AH7*Исх!$C$20</f>
        <v>3960</v>
      </c>
      <c r="AI11" s="29">
        <f>'2-ф2'!AI7*Исх!$C$20</f>
        <v>4140</v>
      </c>
      <c r="AJ11" s="29">
        <f>'2-ф2'!AJ7*Исх!$C$20</f>
        <v>4320</v>
      </c>
    </row>
    <row r="12" spans="1:36" ht="25.5">
      <c r="A12" s="28" t="str">
        <f>'2-ф2'!A8</f>
        <v>Wedding program, постановка корпоративных номеров</v>
      </c>
      <c r="B12" s="27">
        <f>P12+AC12+AD12+AE12+AF12+AG12+AH12+AI12+AJ12</f>
        <v>35172</v>
      </c>
      <c r="C12" s="27"/>
      <c r="D12" s="29">
        <f>'2-ф2'!D8*Исх!$C$20</f>
        <v>0</v>
      </c>
      <c r="E12" s="29">
        <f>'2-ф2'!E8*Исх!$C$20</f>
        <v>0</v>
      </c>
      <c r="F12" s="29">
        <f>'2-ф2'!F8*Исх!$C$20</f>
        <v>0</v>
      </c>
      <c r="G12" s="29">
        <f>'2-ф2'!G8*Исх!$C$20</f>
        <v>0</v>
      </c>
      <c r="H12" s="29">
        <f>'2-ф2'!H8*Исх!$C$20</f>
        <v>0</v>
      </c>
      <c r="I12" s="29">
        <f>'2-ф2'!I8*Исх!$C$20</f>
        <v>0</v>
      </c>
      <c r="J12" s="29">
        <f>'2-ф2'!J8*Исх!$C$20</f>
        <v>0</v>
      </c>
      <c r="K12" s="29">
        <f>'2-ф2'!K8*Исх!$C$20</f>
        <v>0</v>
      </c>
      <c r="L12" s="29">
        <f>'2-ф2'!L8*Исх!$C$20</f>
        <v>0</v>
      </c>
      <c r="M12" s="29">
        <f>'2-ф2'!M8*Исх!$C$20</f>
        <v>0</v>
      </c>
      <c r="N12" s="29">
        <f>'2-ф2'!N8*Исх!$C$20</f>
        <v>180</v>
      </c>
      <c r="O12" s="29">
        <f>'2-ф2'!O8*Исх!$C$20</f>
        <v>215.99999999999997</v>
      </c>
      <c r="P12" s="27">
        <f>SUM(D12:O12)</f>
        <v>396</v>
      </c>
      <c r="Q12" s="29">
        <f>'2-ф2'!Q8*Исх!$C$20</f>
        <v>234.00000000000003</v>
      </c>
      <c r="R12" s="29">
        <f>'2-ф2'!R8*Исх!$C$20</f>
        <v>251.99999999999997</v>
      </c>
      <c r="S12" s="29">
        <f>'2-ф2'!S8*Исх!$C$20</f>
        <v>270</v>
      </c>
      <c r="T12" s="29">
        <f>'2-ф2'!T8*Исх!$C$20</f>
        <v>288.00000000000006</v>
      </c>
      <c r="U12" s="29">
        <f>'2-ф2'!U8*Исх!$C$20</f>
        <v>288.00000000000006</v>
      </c>
      <c r="V12" s="29">
        <f>'2-ф2'!V8*Исх!$C$20</f>
        <v>180</v>
      </c>
      <c r="W12" s="29">
        <f>'2-ф2'!W8*Исх!$C$20</f>
        <v>180</v>
      </c>
      <c r="X12" s="29">
        <f>'2-ф2'!X8*Исх!$C$20</f>
        <v>180</v>
      </c>
      <c r="Y12" s="29">
        <f>'2-ф2'!Y8*Исх!$C$20</f>
        <v>288.00000000000006</v>
      </c>
      <c r="Z12" s="29">
        <f>'2-ф2'!Z8*Исх!$C$20</f>
        <v>324</v>
      </c>
      <c r="AA12" s="29">
        <f>'2-ф2'!AA8*Исх!$C$20</f>
        <v>360</v>
      </c>
      <c r="AB12" s="29">
        <f>'2-ф2'!AB8*Исх!$C$20</f>
        <v>396.00000000000006</v>
      </c>
      <c r="AC12" s="27">
        <f>SUM(Q12:AB12)</f>
        <v>3240</v>
      </c>
      <c r="AD12" s="29">
        <f>'2-ф2'!AD8*Исх!$C$20</f>
        <v>3672</v>
      </c>
      <c r="AE12" s="29">
        <f>'2-ф2'!AE8*Исх!$C$20</f>
        <v>4103.999999999999</v>
      </c>
      <c r="AF12" s="29">
        <f>'2-ф2'!AF8*Исх!$C$20</f>
        <v>4320</v>
      </c>
      <c r="AG12" s="29">
        <f>'2-ф2'!AG8*Исх!$C$20</f>
        <v>4536.000000000001</v>
      </c>
      <c r="AH12" s="29">
        <f>'2-ф2'!AH8*Исх!$C$20</f>
        <v>4752.000000000001</v>
      </c>
      <c r="AI12" s="29">
        <f>'2-ф2'!AI8*Исх!$C$20</f>
        <v>4967.999999999999</v>
      </c>
      <c r="AJ12" s="29">
        <f>'2-ф2'!AJ8*Исх!$C$20</f>
        <v>5183.999999999999</v>
      </c>
    </row>
    <row r="13" spans="1:36" ht="12.75">
      <c r="A13" s="28" t="str">
        <f>'2-ф2'!A9</f>
        <v>Аренда танцевальных залов</v>
      </c>
      <c r="B13" s="27">
        <f>P13+AC13+AD13+AE13+AF13+AG13+AH13+AI13+AJ13</f>
        <v>26379</v>
      </c>
      <c r="C13" s="27"/>
      <c r="D13" s="29">
        <f>'2-ф2'!D9*Исх!$C$20</f>
        <v>0</v>
      </c>
      <c r="E13" s="29">
        <f>'2-ф2'!E9*Исх!$C$20</f>
        <v>0</v>
      </c>
      <c r="F13" s="29">
        <f>'2-ф2'!F9*Исх!$C$20</f>
        <v>0</v>
      </c>
      <c r="G13" s="29">
        <f>'2-ф2'!G9*Исх!$C$20</f>
        <v>0</v>
      </c>
      <c r="H13" s="29">
        <f>'2-ф2'!H9*Исх!$C$20</f>
        <v>0</v>
      </c>
      <c r="I13" s="29">
        <f>'2-ф2'!I9*Исх!$C$20</f>
        <v>0</v>
      </c>
      <c r="J13" s="29">
        <f>'2-ф2'!J9*Исх!$C$20</f>
        <v>0</v>
      </c>
      <c r="K13" s="29">
        <f>'2-ф2'!K9*Исх!$C$20</f>
        <v>0</v>
      </c>
      <c r="L13" s="29">
        <f>'2-ф2'!L9*Исх!$C$20</f>
        <v>0</v>
      </c>
      <c r="M13" s="29">
        <f>'2-ф2'!M9*Исх!$C$20</f>
        <v>0</v>
      </c>
      <c r="N13" s="29">
        <f>'2-ф2'!N9*Исх!$C$20</f>
        <v>135</v>
      </c>
      <c r="O13" s="29">
        <f>'2-ф2'!O9*Исх!$C$20</f>
        <v>162</v>
      </c>
      <c r="P13" s="27">
        <f>SUM(D13:O13)</f>
        <v>297</v>
      </c>
      <c r="Q13" s="29">
        <f>'2-ф2'!Q9*Исх!$C$20</f>
        <v>175.5</v>
      </c>
      <c r="R13" s="29">
        <f>'2-ф2'!R9*Исх!$C$20</f>
        <v>188.99999999999997</v>
      </c>
      <c r="S13" s="29">
        <f>'2-ф2'!S9*Исх!$C$20</f>
        <v>202.5</v>
      </c>
      <c r="T13" s="29">
        <f>'2-ф2'!T9*Исх!$C$20</f>
        <v>216</v>
      </c>
      <c r="U13" s="29">
        <f>'2-ф2'!U9*Исх!$C$20</f>
        <v>216</v>
      </c>
      <c r="V13" s="29">
        <f>'2-ф2'!V9*Исх!$C$20</f>
        <v>135</v>
      </c>
      <c r="W13" s="29">
        <f>'2-ф2'!W9*Исх!$C$20</f>
        <v>135</v>
      </c>
      <c r="X13" s="29">
        <f>'2-ф2'!X9*Исх!$C$20</f>
        <v>135</v>
      </c>
      <c r="Y13" s="29">
        <f>'2-ф2'!Y9*Исх!$C$20</f>
        <v>216</v>
      </c>
      <c r="Z13" s="29">
        <f>'2-ф2'!Z9*Исх!$C$20</f>
        <v>243</v>
      </c>
      <c r="AA13" s="29">
        <f>'2-ф2'!AA9*Исх!$C$20</f>
        <v>270</v>
      </c>
      <c r="AB13" s="29">
        <f>'2-ф2'!AB9*Исх!$C$20</f>
        <v>297.00000000000006</v>
      </c>
      <c r="AC13" s="27">
        <f>SUM(Q13:AB13)</f>
        <v>2430</v>
      </c>
      <c r="AD13" s="29">
        <f>'2-ф2'!AD9*Исх!$C$20</f>
        <v>2754</v>
      </c>
      <c r="AE13" s="29">
        <f>'2-ф2'!AE9*Исх!$C$20</f>
        <v>3078</v>
      </c>
      <c r="AF13" s="29">
        <f>'2-ф2'!AF9*Исх!$C$20</f>
        <v>3240</v>
      </c>
      <c r="AG13" s="29">
        <f>'2-ф2'!AG9*Исх!$C$20</f>
        <v>3402</v>
      </c>
      <c r="AH13" s="29">
        <f>'2-ф2'!AH9*Исх!$C$20</f>
        <v>3564.000000000001</v>
      </c>
      <c r="AI13" s="29">
        <f>'2-ф2'!AI9*Исх!$C$20</f>
        <v>3725.999999999999</v>
      </c>
      <c r="AJ13" s="29">
        <f>'2-ф2'!AJ9*Исх!$C$20</f>
        <v>3888</v>
      </c>
    </row>
    <row r="14" spans="1:36" ht="12.75">
      <c r="A14" s="28" t="str">
        <f>'2-ф2'!A10</f>
        <v>Буфет</v>
      </c>
      <c r="B14" s="27">
        <f>P14+AC14+AD14+AE14+AF14+AG14+AH14+AI14+AJ14</f>
        <v>8793</v>
      </c>
      <c r="C14" s="27"/>
      <c r="D14" s="29">
        <f>'2-ф2'!D10*Исх!$C$20</f>
        <v>0</v>
      </c>
      <c r="E14" s="29">
        <f>'2-ф2'!E10*Исх!$C$20</f>
        <v>0</v>
      </c>
      <c r="F14" s="29">
        <f>'2-ф2'!F10*Исх!$C$20</f>
        <v>0</v>
      </c>
      <c r="G14" s="29">
        <f>'2-ф2'!G10*Исх!$C$20</f>
        <v>0</v>
      </c>
      <c r="H14" s="29">
        <f>'2-ф2'!H10*Исх!$C$20</f>
        <v>0</v>
      </c>
      <c r="I14" s="29">
        <f>'2-ф2'!I10*Исх!$C$20</f>
        <v>0</v>
      </c>
      <c r="J14" s="29">
        <f>'2-ф2'!J10*Исх!$C$20</f>
        <v>0</v>
      </c>
      <c r="K14" s="29">
        <f>'2-ф2'!K10*Исх!$C$20</f>
        <v>0</v>
      </c>
      <c r="L14" s="29">
        <f>'2-ф2'!L10*Исх!$C$20</f>
        <v>0</v>
      </c>
      <c r="M14" s="29">
        <f>'2-ф2'!M10*Исх!$C$20</f>
        <v>0</v>
      </c>
      <c r="N14" s="29">
        <f>'2-ф2'!N10*Исх!$C$20</f>
        <v>45</v>
      </c>
      <c r="O14" s="29">
        <f>'2-ф2'!O10*Исх!$C$20</f>
        <v>54</v>
      </c>
      <c r="P14" s="27">
        <f>SUM(D14:O14)</f>
        <v>99</v>
      </c>
      <c r="Q14" s="29">
        <f>'2-ф2'!Q10*Исх!$C$20</f>
        <v>58.5</v>
      </c>
      <c r="R14" s="29">
        <f>'2-ф2'!R10*Исх!$C$20</f>
        <v>62.99999999999999</v>
      </c>
      <c r="S14" s="29">
        <f>'2-ф2'!S10*Исх!$C$20</f>
        <v>67.5</v>
      </c>
      <c r="T14" s="29">
        <f>'2-ф2'!T10*Исх!$C$20</f>
        <v>72</v>
      </c>
      <c r="U14" s="29">
        <f>'2-ф2'!U10*Исх!$C$20</f>
        <v>72</v>
      </c>
      <c r="V14" s="29">
        <f>'2-ф2'!V10*Исх!$C$20</f>
        <v>45</v>
      </c>
      <c r="W14" s="29">
        <f>'2-ф2'!W10*Исх!$C$20</f>
        <v>45</v>
      </c>
      <c r="X14" s="29">
        <f>'2-ф2'!X10*Исх!$C$20</f>
        <v>45</v>
      </c>
      <c r="Y14" s="29">
        <f>'2-ф2'!Y10*Исх!$C$20</f>
        <v>72</v>
      </c>
      <c r="Z14" s="29">
        <f>'2-ф2'!Z10*Исх!$C$20</f>
        <v>81</v>
      </c>
      <c r="AA14" s="29">
        <f>'2-ф2'!AA10*Исх!$C$20</f>
        <v>90</v>
      </c>
      <c r="AB14" s="29">
        <f>'2-ф2'!AB10*Исх!$C$20</f>
        <v>99.00000000000001</v>
      </c>
      <c r="AC14" s="27">
        <f>SUM(Q14:AB14)</f>
        <v>810</v>
      </c>
      <c r="AD14" s="29">
        <f>'2-ф2'!AD10*Исх!$C$20</f>
        <v>918</v>
      </c>
      <c r="AE14" s="29">
        <f>'2-ф2'!AE10*Исх!$C$20</f>
        <v>1026</v>
      </c>
      <c r="AF14" s="29">
        <f>'2-ф2'!AF10*Исх!$C$20</f>
        <v>1080</v>
      </c>
      <c r="AG14" s="29">
        <f>'2-ф2'!AG10*Исх!$C$20</f>
        <v>1134</v>
      </c>
      <c r="AH14" s="29">
        <f>'2-ф2'!AH10*Исх!$C$20</f>
        <v>1188.0000000000002</v>
      </c>
      <c r="AI14" s="29">
        <f>'2-ф2'!AI10*Исх!$C$20</f>
        <v>1241.9999999999998</v>
      </c>
      <c r="AJ14" s="29">
        <f>'2-ф2'!AJ10*Исх!$C$20</f>
        <v>1296</v>
      </c>
    </row>
    <row r="15" spans="1:36" s="21" customFormat="1" ht="12.75">
      <c r="A15" s="30" t="s">
        <v>3</v>
      </c>
      <c r="B15" s="27">
        <f aca="true" t="shared" si="7" ref="B15:B21">P15+AC15+AD15+AE15+AF15+AG15+AH15+AI15+AJ15</f>
        <v>162208.0238244719</v>
      </c>
      <c r="C15" s="27"/>
      <c r="D15" s="31">
        <f aca="true" t="shared" si="8" ref="D15:AH15">SUM(D16:D21)</f>
        <v>0</v>
      </c>
      <c r="E15" s="31">
        <f t="shared" si="8"/>
        <v>0</v>
      </c>
      <c r="F15" s="31">
        <f t="shared" si="8"/>
        <v>0</v>
      </c>
      <c r="G15" s="31">
        <f t="shared" si="8"/>
        <v>0</v>
      </c>
      <c r="H15" s="31">
        <f t="shared" si="8"/>
        <v>0</v>
      </c>
      <c r="I15" s="31">
        <f t="shared" si="8"/>
        <v>0</v>
      </c>
      <c r="J15" s="31">
        <f t="shared" si="8"/>
        <v>0</v>
      </c>
      <c r="K15" s="31">
        <f t="shared" si="8"/>
        <v>0</v>
      </c>
      <c r="L15" s="31">
        <f t="shared" si="8"/>
        <v>0</v>
      </c>
      <c r="M15" s="31">
        <f t="shared" si="8"/>
        <v>13.5</v>
      </c>
      <c r="N15" s="31">
        <f t="shared" si="8"/>
        <v>805.3395775</v>
      </c>
      <c r="O15" s="31">
        <f t="shared" si="8"/>
        <v>886.13060875</v>
      </c>
      <c r="P15" s="31">
        <f t="shared" si="8"/>
        <v>1704.9701862499999</v>
      </c>
      <c r="Q15" s="31">
        <f t="shared" si="8"/>
        <v>964.8516257499999</v>
      </c>
      <c r="R15" s="31">
        <f t="shared" si="8"/>
        <v>1473.54662575</v>
      </c>
      <c r="S15" s="31">
        <f t="shared" si="8"/>
        <v>1523.606433125</v>
      </c>
      <c r="T15" s="31">
        <f t="shared" si="8"/>
        <v>1589.0517003125</v>
      </c>
      <c r="U15" s="31">
        <f t="shared" si="8"/>
        <v>1610.4875421875001</v>
      </c>
      <c r="V15" s="31">
        <f t="shared" si="8"/>
        <v>1415.1875421875</v>
      </c>
      <c r="W15" s="31">
        <f t="shared" si="8"/>
        <v>1415.1875421875</v>
      </c>
      <c r="X15" s="31">
        <f t="shared" si="8"/>
        <v>1415.1875421875</v>
      </c>
      <c r="Y15" s="31">
        <f t="shared" si="8"/>
        <v>1610.4875421875001</v>
      </c>
      <c r="Z15" s="31">
        <f t="shared" si="8"/>
        <v>1675.4968892311733</v>
      </c>
      <c r="AA15" s="31">
        <f t="shared" si="8"/>
        <v>1740.338647017847</v>
      </c>
      <c r="AB15" s="31">
        <f t="shared" si="8"/>
        <v>1768.9384809956885</v>
      </c>
      <c r="AC15" s="31">
        <f t="shared" si="8"/>
        <v>18202.36811311971</v>
      </c>
      <c r="AD15" s="31">
        <f t="shared" si="8"/>
        <v>17333.53380396439</v>
      </c>
      <c r="AE15" s="31">
        <f t="shared" si="8"/>
        <v>18545.54957836789</v>
      </c>
      <c r="AF15" s="31">
        <f t="shared" si="8"/>
        <v>19463.62700660322</v>
      </c>
      <c r="AG15" s="31">
        <f t="shared" si="8"/>
        <v>20331.798860584593</v>
      </c>
      <c r="AH15" s="31">
        <f t="shared" si="8"/>
        <v>21227.969767506544</v>
      </c>
      <c r="AI15" s="31">
        <f>SUM(AI16:AI21)</f>
        <v>22187.57303707715</v>
      </c>
      <c r="AJ15" s="31">
        <f>SUM(AJ16:AJ21)</f>
        <v>23210.6334709984</v>
      </c>
    </row>
    <row r="16" spans="1:36" ht="12.75">
      <c r="A16" s="28" t="s">
        <v>174</v>
      </c>
      <c r="B16" s="27">
        <f t="shared" si="7"/>
        <v>2651.4</v>
      </c>
      <c r="C16" s="32"/>
      <c r="D16" s="29"/>
      <c r="E16" s="29">
        <f>'2-ф2'!E13*Исх!$C$20</f>
        <v>0</v>
      </c>
      <c r="F16" s="29">
        <f>'2-ф2'!F13*Исх!$C$20</f>
        <v>0</v>
      </c>
      <c r="G16" s="29">
        <f>'2-ф2'!G13*Исх!$C$20</f>
        <v>0</v>
      </c>
      <c r="H16" s="29">
        <f>'2-ф2'!H13*Исх!$C$20</f>
        <v>0</v>
      </c>
      <c r="I16" s="29">
        <f>'2-ф2'!I13*Исх!$C$20</f>
        <v>0</v>
      </c>
      <c r="J16" s="29">
        <f>'2-ф2'!J13*Исх!$C$20</f>
        <v>0</v>
      </c>
      <c r="K16" s="29">
        <f>'2-ф2'!K13*Исх!$C$20</f>
        <v>0</v>
      </c>
      <c r="L16" s="29">
        <f>'2-ф2'!L13*Исх!$C$20</f>
        <v>0</v>
      </c>
      <c r="M16" s="29">
        <f>N16</f>
        <v>13.5</v>
      </c>
      <c r="N16" s="29">
        <f>'2-ф2'!N13*Исх!$C$20</f>
        <v>13.5</v>
      </c>
      <c r="O16" s="29">
        <f>'2-ф2'!O13*Исх!$C$20</f>
        <v>16.2</v>
      </c>
      <c r="P16" s="27">
        <f aca="true" t="shared" si="9" ref="P16:P21">SUM(D16:O16)</f>
        <v>43.2</v>
      </c>
      <c r="Q16" s="29">
        <f>'2-ф2'!Q13*Исх!$C$20</f>
        <v>17.55</v>
      </c>
      <c r="R16" s="29">
        <f>'2-ф2'!R13*Исх!$C$20</f>
        <v>18.9</v>
      </c>
      <c r="S16" s="29">
        <f>'2-ф2'!S13*Исх!$C$20</f>
        <v>20.25</v>
      </c>
      <c r="T16" s="29">
        <f>'2-ф2'!T13*Исх!$C$20</f>
        <v>21.599999999999998</v>
      </c>
      <c r="U16" s="29">
        <f>'2-ф2'!U13*Исх!$C$20</f>
        <v>21.599999999999998</v>
      </c>
      <c r="V16" s="29">
        <f>'2-ф2'!V13*Исх!$C$20</f>
        <v>13.5</v>
      </c>
      <c r="W16" s="29">
        <f>X16</f>
        <v>13.5</v>
      </c>
      <c r="X16" s="29">
        <f>'2-ф2'!X13*Исх!$C$20</f>
        <v>13.5</v>
      </c>
      <c r="Y16" s="29">
        <f>'2-ф2'!Y13*Исх!$C$20</f>
        <v>21.599999999999998</v>
      </c>
      <c r="Z16" s="29">
        <f>'2-ф2'!Z13*Исх!$C$20</f>
        <v>24.3</v>
      </c>
      <c r="AA16" s="29">
        <f>'2-ф2'!AA13*Исх!$C$20</f>
        <v>27</v>
      </c>
      <c r="AB16" s="29">
        <f>'2-ф2'!AB13*Исх!$C$20</f>
        <v>29.700000000000003</v>
      </c>
      <c r="AC16" s="27">
        <f aca="true" t="shared" si="10" ref="AC16:AC21">SUM(Q16:AB16)</f>
        <v>243</v>
      </c>
      <c r="AD16" s="29">
        <f>'2-ф2'!AD13*Исх!$C$20</f>
        <v>275.4</v>
      </c>
      <c r="AE16" s="29">
        <f>'2-ф2'!AE13*Исх!$C$20</f>
        <v>307.8</v>
      </c>
      <c r="AF16" s="29">
        <f>'2-ф2'!AF13*Исх!$C$20</f>
        <v>324</v>
      </c>
      <c r="AG16" s="29">
        <f>'2-ф2'!AG13*Исх!$C$20</f>
        <v>340.2</v>
      </c>
      <c r="AH16" s="29">
        <f>'2-ф2'!AH13*Исх!$C$20</f>
        <v>356.40000000000003</v>
      </c>
      <c r="AI16" s="29">
        <f>'2-ф2'!AI13*Исх!$C$20</f>
        <v>372.5999999999999</v>
      </c>
      <c r="AJ16" s="29">
        <f>'2-ф2'!AJ13*Исх!$C$20</f>
        <v>388.8</v>
      </c>
    </row>
    <row r="17" spans="1:36" ht="12.75">
      <c r="A17" s="28" t="str">
        <f>'2-ф2'!A12</f>
        <v>Заработная плата</v>
      </c>
      <c r="B17" s="27">
        <f t="shared" si="7"/>
        <v>31120.800000000003</v>
      </c>
      <c r="C17" s="32"/>
      <c r="D17" s="29">
        <f>'2-ф2'!D12</f>
        <v>0</v>
      </c>
      <c r="E17" s="29">
        <f>'2-ф2'!E12</f>
        <v>0</v>
      </c>
      <c r="F17" s="29">
        <f>'2-ф2'!F12</f>
        <v>0</v>
      </c>
      <c r="G17" s="29">
        <f>'2-ф2'!G12</f>
        <v>0</v>
      </c>
      <c r="H17" s="29">
        <f>'2-ф2'!H12</f>
        <v>0</v>
      </c>
      <c r="I17" s="29">
        <f>'2-ф2'!I12</f>
        <v>0</v>
      </c>
      <c r="J17" s="29">
        <f>'2-ф2'!J12</f>
        <v>0</v>
      </c>
      <c r="K17" s="29">
        <f>'2-ф2'!K12</f>
        <v>0</v>
      </c>
      <c r="L17" s="29">
        <f>'2-ф2'!L12</f>
        <v>0</v>
      </c>
      <c r="M17" s="29">
        <f>'2-ф2'!M12</f>
        <v>0</v>
      </c>
      <c r="N17" s="29">
        <f>'2-ф2'!N12</f>
        <v>276</v>
      </c>
      <c r="O17" s="29">
        <f>'2-ф2'!O12</f>
        <v>338.4</v>
      </c>
      <c r="P17" s="27">
        <f t="shared" si="9"/>
        <v>614.4</v>
      </c>
      <c r="Q17" s="29">
        <f>'2-ф2'!Q12</f>
        <v>387.6</v>
      </c>
      <c r="R17" s="29">
        <f>'2-ф2'!R12</f>
        <v>400.8</v>
      </c>
      <c r="S17" s="29">
        <f>'2-ф2'!S12</f>
        <v>414</v>
      </c>
      <c r="T17" s="29">
        <f>'2-ф2'!T12</f>
        <v>463.20000000000005</v>
      </c>
      <c r="U17" s="29">
        <f>'2-ф2'!U12</f>
        <v>463.20000000000005</v>
      </c>
      <c r="V17" s="29">
        <f>'2-ф2'!V12</f>
        <v>276</v>
      </c>
      <c r="W17" s="29">
        <f>'2-ф2'!W12</f>
        <v>276</v>
      </c>
      <c r="X17" s="29">
        <f>'2-ф2'!X12</f>
        <v>276</v>
      </c>
      <c r="Y17" s="29">
        <f>'2-ф2'!Y12</f>
        <v>463.20000000000005</v>
      </c>
      <c r="Z17" s="29">
        <f>'2-ф2'!Z12</f>
        <v>525.6</v>
      </c>
      <c r="AA17" s="29">
        <f>'2-ф2'!AA12</f>
        <v>588</v>
      </c>
      <c r="AB17" s="29">
        <f>'2-ф2'!AB12</f>
        <v>614.4000000000001</v>
      </c>
      <c r="AC17" s="27">
        <f t="shared" si="10"/>
        <v>5148</v>
      </c>
      <c r="AD17" s="29">
        <f>'2-ф2'!AD12</f>
        <v>2944.8</v>
      </c>
      <c r="AE17" s="29">
        <f>'2-ф2'!AE12</f>
        <v>3297.5999999999995</v>
      </c>
      <c r="AF17" s="29">
        <f>'2-ф2'!AF12</f>
        <v>3492</v>
      </c>
      <c r="AG17" s="29">
        <f>'2-ф2'!AG12</f>
        <v>3650.4000000000005</v>
      </c>
      <c r="AH17" s="29">
        <f>'2-ф2'!AH12</f>
        <v>3808.8</v>
      </c>
      <c r="AI17" s="29">
        <f>'2-ф2'!AI12</f>
        <v>4003.2</v>
      </c>
      <c r="AJ17" s="29">
        <f>'2-ф2'!AJ12</f>
        <v>4161.6</v>
      </c>
    </row>
    <row r="18" spans="1:36" ht="12.75">
      <c r="A18" s="28" t="s">
        <v>134</v>
      </c>
      <c r="B18" s="27">
        <f t="shared" si="7"/>
        <v>124446.18932329582</v>
      </c>
      <c r="C18" s="2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f>(Пост!$C$16-Пост!$C$6)*Исх!$C$20+Пост!$C$6+Пост!$C$18+Пост!$C$21</f>
        <v>515.0226</v>
      </c>
      <c r="O18" s="29">
        <f>(Пост!$C$16-Пост!$C$6)*Исх!$C$20+Пост!$C$6+Пост!$C$18+Пост!$C$21</f>
        <v>515.0226</v>
      </c>
      <c r="P18" s="27">
        <f t="shared" si="9"/>
        <v>1030.0452</v>
      </c>
      <c r="Q18" s="288">
        <f>(Пост!$D$16-Пост!$D$6)*Исх!$C$20+Пост!$D$6+Пост!$D$18+Пост!$D$21-Пост!$D$7</f>
        <v>541.2737299999999</v>
      </c>
      <c r="R18" s="29">
        <f>(Пост!$D$16-Пост!$D$6)*Исх!$C$20+Пост!$D$6+Пост!$D$18+Пост!$D$21</f>
        <v>1081.27373</v>
      </c>
      <c r="S18" s="29">
        <f>(Пост!$D$16-Пост!$D$6)*Исх!$C$20+Пост!$D$6+Пост!$D$18+Пост!$D$21</f>
        <v>1081.27373</v>
      </c>
      <c r="T18" s="29">
        <f>(Пост!$D$16-Пост!$D$6)*Исх!$C$20+Пост!$D$6+Пост!$D$18+Пост!$D$21</f>
        <v>1081.27373</v>
      </c>
      <c r="U18" s="29">
        <f>(Пост!$D$16-Пост!$D$6)*Исх!$C$20+Пост!$D$6+Пост!$D$18+Пост!$D$21</f>
        <v>1081.27373</v>
      </c>
      <c r="V18" s="29">
        <f>(Пост!$D$16-Пост!$D$6)*Исх!$C$20+Пост!$D$6+Пост!$D$18+Пост!$D$21</f>
        <v>1081.27373</v>
      </c>
      <c r="W18" s="29">
        <f>(Пост!$D$16-Пост!$D$6)*Исх!$C$20+Пост!$D$6+Пост!$D$18+Пост!$D$21</f>
        <v>1081.27373</v>
      </c>
      <c r="X18" s="29">
        <f>(Пост!$D$16-Пост!$D$6)*Исх!$C$20+Пост!$D$6+Пост!$D$18+Пост!$D$21</f>
        <v>1081.27373</v>
      </c>
      <c r="Y18" s="29">
        <f>(Пост!$D$16-Пост!$D$6)*Исх!$C$20+Пост!$D$6+Пост!$D$18+Пост!$D$21</f>
        <v>1081.27373</v>
      </c>
      <c r="Z18" s="29">
        <f>(Пост!$D$16-Пост!$D$6)*Исх!$C$20+Пост!$D$6+Пост!$D$18+Пост!$D$21</f>
        <v>1081.27373</v>
      </c>
      <c r="AA18" s="29">
        <f>(Пост!$D$16-Пост!$D$6)*Исх!$C$20+Пост!$D$6+Пост!$D$18+Пост!$D$21</f>
        <v>1081.27373</v>
      </c>
      <c r="AB18" s="29">
        <f>(Пост!$D$16-Пост!$D$6)*Исх!$C$20+Пост!$D$6+Пост!$D$18+Пост!$D$21</f>
        <v>1081.27373</v>
      </c>
      <c r="AC18" s="27">
        <f t="shared" si="10"/>
        <v>12435.284760000002</v>
      </c>
      <c r="AD18" s="29">
        <f>((Пост!E16-Пост!E6)*Исх!$C$20+Пост!E6+Пост!E18+Пост!E21)*12</f>
        <v>13630.648997999997</v>
      </c>
      <c r="AE18" s="29">
        <f>((Пост!F16-Пост!F6)*Исх!$C$20+Пост!F6+Пост!F18+Пост!F21)*12</f>
        <v>14312.181447900002</v>
      </c>
      <c r="AF18" s="29">
        <f>((Пост!G16-Пост!G6)*Исх!$C$20+Пост!G6+Пост!G18+Пост!G21)*12</f>
        <v>15027.790520294999</v>
      </c>
      <c r="AG18" s="29">
        <f>((Пост!H16-Пост!H6)*Исх!$C$20+Пост!H6+Пост!H18+Пост!H21)*12</f>
        <v>15779.180046309753</v>
      </c>
      <c r="AH18" s="29">
        <f>((Пост!I16-Пост!I6)*Исх!$C$20+Пост!I6+Пост!I18+Пост!I21)*12</f>
        <v>16568.13904862524</v>
      </c>
      <c r="AI18" s="29">
        <f>((Пост!J16-Пост!J6)*Исх!$C$20+Пост!J6+Пост!J18+Пост!J21)*12</f>
        <v>17396.546001056504</v>
      </c>
      <c r="AJ18" s="29">
        <f>((Пост!K16-Пост!K6)*Исх!$C$20+Пост!K6+Пост!K18+Пост!K21)*12</f>
        <v>18266.373301109328</v>
      </c>
    </row>
    <row r="19" spans="1:36" ht="12.75">
      <c r="A19" s="28" t="s">
        <v>188</v>
      </c>
      <c r="B19" s="27">
        <f t="shared" si="7"/>
        <v>1998.8382826266445</v>
      </c>
      <c r="C19" s="27"/>
      <c r="D19" s="29">
        <f>кр!C11</f>
        <v>0</v>
      </c>
      <c r="E19" s="29">
        <f>кр!D11</f>
        <v>0</v>
      </c>
      <c r="F19" s="29">
        <f>кр!E11</f>
        <v>0</v>
      </c>
      <c r="G19" s="29">
        <f>кр!F11</f>
        <v>0</v>
      </c>
      <c r="H19" s="29">
        <f>кр!G11</f>
        <v>0</v>
      </c>
      <c r="I19" s="29">
        <f>кр!H11</f>
        <v>0</v>
      </c>
      <c r="J19" s="29">
        <f>кр!I11</f>
        <v>0</v>
      </c>
      <c r="K19" s="29">
        <f>кр!J11</f>
        <v>0</v>
      </c>
      <c r="L19" s="29">
        <f>кр!K11</f>
        <v>0</v>
      </c>
      <c r="M19" s="29">
        <f>кр!L11</f>
        <v>0</v>
      </c>
      <c r="N19" s="29">
        <f>кр!M11</f>
        <v>0</v>
      </c>
      <c r="O19" s="29">
        <f>кр!N11</f>
        <v>0</v>
      </c>
      <c r="P19" s="27">
        <f>SUM(D19:O19)</f>
        <v>0</v>
      </c>
      <c r="Q19" s="29">
        <f>кр!P11</f>
        <v>0</v>
      </c>
      <c r="R19" s="29">
        <f>кр!Q11</f>
        <v>0</v>
      </c>
      <c r="S19" s="29">
        <f>кр!R11</f>
        <v>8.082703125</v>
      </c>
      <c r="T19" s="29">
        <f>кр!S11</f>
        <v>22.977970312500002</v>
      </c>
      <c r="U19" s="29">
        <f>кр!T11</f>
        <v>44.4138121875</v>
      </c>
      <c r="V19" s="29">
        <f>кр!U11</f>
        <v>44.4138121875</v>
      </c>
      <c r="W19" s="29">
        <f>кр!V11</f>
        <v>44.4138121875</v>
      </c>
      <c r="X19" s="29">
        <f>кр!W11</f>
        <v>44.4138121875</v>
      </c>
      <c r="Y19" s="29">
        <f>кр!X11</f>
        <v>44.4138121875</v>
      </c>
      <c r="Z19" s="29">
        <f>кр!Y11</f>
        <v>44.32315923117336</v>
      </c>
      <c r="AA19" s="29">
        <f>кр!Z11</f>
        <v>44.06491701784717</v>
      </c>
      <c r="AB19" s="29">
        <f>кр!AA11</f>
        <v>43.56475099568842</v>
      </c>
      <c r="AC19" s="27">
        <f>SUM(Q19:AB19)</f>
        <v>385.08256161970894</v>
      </c>
      <c r="AD19" s="33">
        <f>кр!AO11</f>
        <v>482.68480596439235</v>
      </c>
      <c r="AE19" s="33">
        <f>кр!BB11</f>
        <v>404.97245158292264</v>
      </c>
      <c r="AF19" s="33">
        <f>кр!BO11</f>
        <v>321.642264819688</v>
      </c>
      <c r="AG19" s="33">
        <f>кр!CB11</f>
        <v>232.288132117574</v>
      </c>
      <c r="AH19" s="33">
        <f>кр!CO11</f>
        <v>136.4745819375852</v>
      </c>
      <c r="AI19" s="33">
        <f>кр!DB11</f>
        <v>35.69348458477095</v>
      </c>
      <c r="AJ19" s="33">
        <f>кр!DO11</f>
        <v>2.3153035044742866E-12</v>
      </c>
    </row>
    <row r="20" spans="1:36" ht="12.75">
      <c r="A20" s="28" t="str">
        <f>'2-ф2'!A20</f>
        <v>Подоходный налог</v>
      </c>
      <c r="B20" s="27">
        <f t="shared" si="7"/>
        <v>1990.79621854942</v>
      </c>
      <c r="C20" s="27"/>
      <c r="D20" s="29">
        <f>'2-ф2'!D20</f>
        <v>0</v>
      </c>
      <c r="E20" s="29">
        <f>'2-ф2'!E20</f>
        <v>0</v>
      </c>
      <c r="F20" s="29">
        <f>'2-ф2'!F20</f>
        <v>0</v>
      </c>
      <c r="G20" s="29">
        <f>'2-ф2'!G20</f>
        <v>0</v>
      </c>
      <c r="H20" s="29">
        <f>'2-ф2'!H20</f>
        <v>0</v>
      </c>
      <c r="I20" s="29">
        <f>'2-ф2'!I20</f>
        <v>0</v>
      </c>
      <c r="J20" s="29">
        <f>'2-ф2'!J20</f>
        <v>0</v>
      </c>
      <c r="K20" s="29">
        <f>'2-ф2'!K20</f>
        <v>0</v>
      </c>
      <c r="L20" s="29">
        <f>'2-ф2'!L20</f>
        <v>0</v>
      </c>
      <c r="M20" s="29">
        <f>'2-ф2'!M20</f>
        <v>0</v>
      </c>
      <c r="N20" s="29">
        <f>'2-ф2'!N20</f>
        <v>0.8169774999999998</v>
      </c>
      <c r="O20" s="29">
        <f>'2-ф2'!O20</f>
        <v>16.50800875000001</v>
      </c>
      <c r="P20" s="27">
        <f t="shared" si="9"/>
        <v>17.32498625000001</v>
      </c>
      <c r="Q20" s="29">
        <f>'2-ф2'!Q20</f>
        <v>18.42789575</v>
      </c>
      <c r="R20" s="29">
        <f>'2-ф2'!R20</f>
        <v>-27.42710425</v>
      </c>
      <c r="S20" s="29">
        <f>'2-ф2'!S20</f>
        <v>0</v>
      </c>
      <c r="T20" s="29">
        <f>'2-ф2'!T20</f>
        <v>0</v>
      </c>
      <c r="U20" s="29">
        <f>'2-ф2'!U20</f>
        <v>0</v>
      </c>
      <c r="V20" s="29">
        <f>'2-ф2'!V20</f>
        <v>0</v>
      </c>
      <c r="W20" s="29">
        <f>'2-ф2'!W20</f>
        <v>0</v>
      </c>
      <c r="X20" s="29">
        <f>'2-ф2'!X20</f>
        <v>0</v>
      </c>
      <c r="Y20" s="29">
        <f>'2-ф2'!Y20</f>
        <v>0</v>
      </c>
      <c r="Z20" s="29">
        <f>'2-ф2'!Z20</f>
        <v>0</v>
      </c>
      <c r="AA20" s="29">
        <f>'2-ф2'!AA20</f>
        <v>0</v>
      </c>
      <c r="AB20" s="29">
        <f>'2-ф2'!AB20</f>
        <v>0</v>
      </c>
      <c r="AC20" s="27">
        <f t="shared" si="10"/>
        <v>-8.999208499999998</v>
      </c>
      <c r="AD20" s="29">
        <f>'2-ф2'!AD20</f>
        <v>0</v>
      </c>
      <c r="AE20" s="29">
        <f>'2-ф2'!AE20</f>
        <v>222.99567888496415</v>
      </c>
      <c r="AF20" s="29">
        <f>'2-ф2'!AF20</f>
        <v>298.19422148853135</v>
      </c>
      <c r="AG20" s="29">
        <f>'2-ф2'!AG20</f>
        <v>329.73068215726744</v>
      </c>
      <c r="AH20" s="29">
        <f>'2-ф2'!AH20</f>
        <v>358.1561369437176</v>
      </c>
      <c r="AI20" s="29">
        <f>'2-ф2'!AI20</f>
        <v>379.5335514358726</v>
      </c>
      <c r="AJ20" s="29">
        <f>'2-ф2'!AJ20</f>
        <v>393.8601698890668</v>
      </c>
    </row>
    <row r="21" spans="1:36" ht="12.75">
      <c r="A21" s="28" t="s">
        <v>29</v>
      </c>
      <c r="B21" s="27">
        <f t="shared" si="7"/>
        <v>0</v>
      </c>
      <c r="C21" s="27"/>
      <c r="D21" s="29">
        <f>'2-ф2'!D33</f>
        <v>0</v>
      </c>
      <c r="E21" s="29">
        <f>'2-ф2'!E33</f>
        <v>0</v>
      </c>
      <c r="F21" s="29">
        <f>'2-ф2'!F33</f>
        <v>0</v>
      </c>
      <c r="G21" s="29">
        <f>'2-ф2'!G33</f>
        <v>0</v>
      </c>
      <c r="H21" s="29">
        <f>'2-ф2'!H33</f>
        <v>0</v>
      </c>
      <c r="I21" s="29">
        <f>'2-ф2'!I33</f>
        <v>0</v>
      </c>
      <c r="J21" s="29">
        <f>'2-ф2'!J33</f>
        <v>0</v>
      </c>
      <c r="K21" s="29">
        <f>'2-ф2'!K33</f>
        <v>0</v>
      </c>
      <c r="L21" s="29">
        <f>'2-ф2'!L33</f>
        <v>0</v>
      </c>
      <c r="M21" s="29">
        <f>'2-ф2'!M33</f>
        <v>0</v>
      </c>
      <c r="N21" s="29">
        <f>'2-ф2'!N33</f>
        <v>0</v>
      </c>
      <c r="O21" s="29">
        <f>'2-ф2'!O33</f>
        <v>0</v>
      </c>
      <c r="P21" s="27">
        <f t="shared" si="9"/>
        <v>0</v>
      </c>
      <c r="Q21" s="29">
        <f>'2-ф2'!Q33</f>
        <v>0</v>
      </c>
      <c r="R21" s="29">
        <f>'2-ф2'!R33</f>
        <v>0</v>
      </c>
      <c r="S21" s="29">
        <f>'2-ф2'!S33</f>
        <v>0</v>
      </c>
      <c r="T21" s="29">
        <f>'2-ф2'!T33</f>
        <v>0</v>
      </c>
      <c r="U21" s="29">
        <f>'2-ф2'!U33</f>
        <v>0</v>
      </c>
      <c r="V21" s="29">
        <f>'2-ф2'!V33</f>
        <v>0</v>
      </c>
      <c r="W21" s="29">
        <f>'2-ф2'!W33</f>
        <v>0</v>
      </c>
      <c r="X21" s="29">
        <f>'2-ф2'!X33</f>
        <v>0</v>
      </c>
      <c r="Y21" s="29">
        <f>'2-ф2'!Y33</f>
        <v>0</v>
      </c>
      <c r="Z21" s="29">
        <f>'2-ф2'!Z33</f>
        <v>0</v>
      </c>
      <c r="AA21" s="29">
        <f>'2-ф2'!AA33</f>
        <v>0</v>
      </c>
      <c r="AB21" s="29">
        <f>'2-ф2'!AB33</f>
        <v>0</v>
      </c>
      <c r="AC21" s="27">
        <f t="shared" si="10"/>
        <v>0</v>
      </c>
      <c r="AD21" s="29">
        <f>'2-ф2'!AD33</f>
        <v>0</v>
      </c>
      <c r="AE21" s="29">
        <f>'2-ф2'!AE33</f>
        <v>0</v>
      </c>
      <c r="AF21" s="29">
        <f>'2-ф2'!AF33</f>
        <v>0</v>
      </c>
      <c r="AG21" s="29">
        <f>'2-ф2'!AG33</f>
        <v>0</v>
      </c>
      <c r="AH21" s="29">
        <f>'2-ф2'!AH33</f>
        <v>0</v>
      </c>
      <c r="AI21" s="29">
        <f>'2-ф2'!AI33</f>
        <v>0</v>
      </c>
      <c r="AJ21" s="29">
        <f>'2-ф2'!AJ33</f>
        <v>0</v>
      </c>
    </row>
    <row r="22" spans="1:36" s="21" customFormat="1" ht="25.5">
      <c r="A22" s="34" t="s">
        <v>16</v>
      </c>
      <c r="B22" s="18">
        <f>B9-B15</f>
        <v>25375.976175528107</v>
      </c>
      <c r="C22" s="18"/>
      <c r="D22" s="18">
        <f aca="true" t="shared" si="11" ref="D22:AJ22">D9-D15</f>
        <v>0</v>
      </c>
      <c r="E22" s="18">
        <f t="shared" si="11"/>
        <v>0</v>
      </c>
      <c r="F22" s="18">
        <f t="shared" si="11"/>
        <v>0</v>
      </c>
      <c r="G22" s="18">
        <f t="shared" si="11"/>
        <v>0</v>
      </c>
      <c r="H22" s="18">
        <f t="shared" si="11"/>
        <v>0</v>
      </c>
      <c r="I22" s="18">
        <f t="shared" si="11"/>
        <v>0</v>
      </c>
      <c r="J22" s="18">
        <f t="shared" si="11"/>
        <v>0</v>
      </c>
      <c r="K22" s="18">
        <f t="shared" si="11"/>
        <v>0</v>
      </c>
      <c r="L22" s="18">
        <f t="shared" si="11"/>
        <v>0</v>
      </c>
      <c r="M22" s="18">
        <f t="shared" si="11"/>
        <v>-13.5</v>
      </c>
      <c r="N22" s="18">
        <f t="shared" si="11"/>
        <v>154.66042249999998</v>
      </c>
      <c r="O22" s="18">
        <f t="shared" si="11"/>
        <v>265.86939125000004</v>
      </c>
      <c r="P22" s="18">
        <f t="shared" si="11"/>
        <v>407.02981375000013</v>
      </c>
      <c r="Q22" s="18">
        <f t="shared" si="11"/>
        <v>283.1483742500001</v>
      </c>
      <c r="R22" s="18">
        <f t="shared" si="11"/>
        <v>-129.54662574999998</v>
      </c>
      <c r="S22" s="18">
        <f t="shared" si="11"/>
        <v>-83.60643312499997</v>
      </c>
      <c r="T22" s="18">
        <f t="shared" si="11"/>
        <v>-53.05170031250009</v>
      </c>
      <c r="U22" s="18">
        <f t="shared" si="11"/>
        <v>-74.48754218750014</v>
      </c>
      <c r="V22" s="18">
        <f t="shared" si="11"/>
        <v>-455.18754218749996</v>
      </c>
      <c r="W22" s="18">
        <f t="shared" si="11"/>
        <v>-455.18754218749996</v>
      </c>
      <c r="X22" s="18">
        <f t="shared" si="11"/>
        <v>-455.18754218749996</v>
      </c>
      <c r="Y22" s="18">
        <f t="shared" si="11"/>
        <v>-74.48754218750014</v>
      </c>
      <c r="Z22" s="18">
        <f t="shared" si="11"/>
        <v>52.50311076882667</v>
      </c>
      <c r="AA22" s="18">
        <f t="shared" si="11"/>
        <v>179.66135298215295</v>
      </c>
      <c r="AB22" s="18">
        <f t="shared" si="11"/>
        <v>343.06151900431155</v>
      </c>
      <c r="AC22" s="18">
        <f t="shared" si="11"/>
        <v>-922.3681131197118</v>
      </c>
      <c r="AD22" s="18">
        <f t="shared" si="11"/>
        <v>2250.4661960356098</v>
      </c>
      <c r="AE22" s="18">
        <f t="shared" si="11"/>
        <v>3342.450421632111</v>
      </c>
      <c r="AF22" s="18">
        <f t="shared" si="11"/>
        <v>3576.3729933967807</v>
      </c>
      <c r="AG22" s="18">
        <f t="shared" si="11"/>
        <v>3860.201139415407</v>
      </c>
      <c r="AH22" s="18">
        <f t="shared" si="11"/>
        <v>4116.030232493456</v>
      </c>
      <c r="AI22" s="18">
        <f t="shared" si="11"/>
        <v>4308.426962922851</v>
      </c>
      <c r="AJ22" s="18">
        <f t="shared" si="11"/>
        <v>4437.3665290016</v>
      </c>
    </row>
    <row r="23" spans="1:36" s="21" customFormat="1" ht="12.75">
      <c r="A23" s="22" t="s">
        <v>17</v>
      </c>
      <c r="B23" s="23"/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35"/>
      <c r="AD23" s="35"/>
      <c r="AE23" s="35"/>
      <c r="AF23" s="35"/>
      <c r="AG23" s="35"/>
      <c r="AH23" s="35"/>
      <c r="AI23" s="35"/>
      <c r="AJ23" s="35"/>
    </row>
    <row r="24" spans="1:36" s="21" customFormat="1" ht="12.75">
      <c r="A24" s="26" t="s">
        <v>4</v>
      </c>
      <c r="B24" s="27"/>
      <c r="C24" s="2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7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27"/>
      <c r="AD24" s="27"/>
      <c r="AE24" s="27"/>
      <c r="AF24" s="27"/>
      <c r="AG24" s="27"/>
      <c r="AH24" s="27"/>
      <c r="AI24" s="27"/>
      <c r="AJ24" s="27"/>
    </row>
    <row r="25" spans="1:36" s="21" customFormat="1" ht="12.75">
      <c r="A25" s="26" t="s">
        <v>5</v>
      </c>
      <c r="B25" s="27">
        <f>SUM(B26:B27)</f>
        <v>8641</v>
      </c>
      <c r="C25" s="27"/>
      <c r="D25" s="27">
        <f aca="true" t="shared" si="12" ref="D25:AI25">SUM(D26:D27)</f>
        <v>0</v>
      </c>
      <c r="E25" s="27">
        <f t="shared" si="12"/>
        <v>0</v>
      </c>
      <c r="F25" s="27">
        <f t="shared" si="12"/>
        <v>0</v>
      </c>
      <c r="G25" s="27">
        <f t="shared" si="12"/>
        <v>0</v>
      </c>
      <c r="H25" s="27">
        <f t="shared" si="12"/>
        <v>0</v>
      </c>
      <c r="I25" s="27">
        <f t="shared" si="12"/>
        <v>0</v>
      </c>
      <c r="J25" s="27">
        <f t="shared" si="12"/>
        <v>0</v>
      </c>
      <c r="K25" s="27">
        <f t="shared" si="12"/>
        <v>1575</v>
      </c>
      <c r="L25" s="27">
        <f t="shared" si="12"/>
        <v>2902.5</v>
      </c>
      <c r="M25" s="27">
        <f t="shared" si="12"/>
        <v>4163.5</v>
      </c>
      <c r="N25" s="27">
        <f t="shared" si="12"/>
        <v>0</v>
      </c>
      <c r="O25" s="27">
        <f t="shared" si="12"/>
        <v>0</v>
      </c>
      <c r="P25" s="27">
        <f t="shared" si="12"/>
        <v>8641</v>
      </c>
      <c r="Q25" s="27">
        <f t="shared" si="12"/>
        <v>0</v>
      </c>
      <c r="R25" s="27">
        <f t="shared" si="12"/>
        <v>0</v>
      </c>
      <c r="S25" s="27">
        <f t="shared" si="12"/>
        <v>0</v>
      </c>
      <c r="T25" s="27">
        <f t="shared" si="12"/>
        <v>0</v>
      </c>
      <c r="U25" s="27">
        <f t="shared" si="12"/>
        <v>0</v>
      </c>
      <c r="V25" s="27">
        <f t="shared" si="12"/>
        <v>0</v>
      </c>
      <c r="W25" s="27">
        <f t="shared" si="12"/>
        <v>0</v>
      </c>
      <c r="X25" s="27">
        <f t="shared" si="12"/>
        <v>0</v>
      </c>
      <c r="Y25" s="27">
        <f t="shared" si="12"/>
        <v>0</v>
      </c>
      <c r="Z25" s="27">
        <f t="shared" si="12"/>
        <v>0</v>
      </c>
      <c r="AA25" s="27">
        <f t="shared" si="12"/>
        <v>0</v>
      </c>
      <c r="AB25" s="27">
        <f t="shared" si="12"/>
        <v>0</v>
      </c>
      <c r="AC25" s="27">
        <f t="shared" si="12"/>
        <v>0</v>
      </c>
      <c r="AD25" s="27">
        <f t="shared" si="12"/>
        <v>0</v>
      </c>
      <c r="AE25" s="27">
        <f t="shared" si="12"/>
        <v>0</v>
      </c>
      <c r="AF25" s="27">
        <f t="shared" si="12"/>
        <v>0</v>
      </c>
      <c r="AG25" s="27">
        <f t="shared" si="12"/>
        <v>0</v>
      </c>
      <c r="AH25" s="27">
        <f t="shared" si="12"/>
        <v>0</v>
      </c>
      <c r="AI25" s="27">
        <f t="shared" si="12"/>
        <v>0</v>
      </c>
      <c r="AJ25" s="27">
        <f>SUM(AJ26:AJ27)</f>
        <v>0</v>
      </c>
    </row>
    <row r="26" spans="1:36" ht="12.75" outlineLevel="1">
      <c r="A26" s="37" t="s">
        <v>193</v>
      </c>
      <c r="B26" s="27">
        <f>P26+AC26+AD26+AE26+AF26+AG26+AH26+AI26+AJ26</f>
        <v>8641</v>
      </c>
      <c r="C26" s="27"/>
      <c r="D26" s="29">
        <f>Инв!E31</f>
        <v>0</v>
      </c>
      <c r="E26" s="29">
        <f>Инв!F31</f>
        <v>0</v>
      </c>
      <c r="F26" s="29">
        <f>Инв!G31</f>
        <v>0</v>
      </c>
      <c r="G26" s="29">
        <f>Инв!H31</f>
        <v>0</v>
      </c>
      <c r="H26" s="29">
        <f>Инв!I31</f>
        <v>0</v>
      </c>
      <c r="I26" s="29">
        <f>Инв!J31</f>
        <v>0</v>
      </c>
      <c r="J26" s="29">
        <f>Инв!K31</f>
        <v>0</v>
      </c>
      <c r="K26" s="29">
        <f>Инв!L31</f>
        <v>1575</v>
      </c>
      <c r="L26" s="29">
        <f>Инв!M31</f>
        <v>2902.5</v>
      </c>
      <c r="M26" s="29">
        <f>Инв!N31</f>
        <v>4163.5</v>
      </c>
      <c r="N26" s="29">
        <f>Инв!O31</f>
        <v>0</v>
      </c>
      <c r="O26" s="29">
        <f>Инв!P31</f>
        <v>0</v>
      </c>
      <c r="P26" s="27">
        <f>SUM(D26:O26)</f>
        <v>8641</v>
      </c>
      <c r="Q26" s="29">
        <f>Инв!R31</f>
        <v>0</v>
      </c>
      <c r="R26" s="29">
        <f>Инв!S31</f>
        <v>0</v>
      </c>
      <c r="S26" s="29">
        <f>Инв!T31</f>
        <v>0</v>
      </c>
      <c r="T26" s="29">
        <f>Инв!U31</f>
        <v>0</v>
      </c>
      <c r="U26" s="29">
        <f>Инв!V31</f>
        <v>0</v>
      </c>
      <c r="V26" s="29">
        <f>Инв!W31</f>
        <v>0</v>
      </c>
      <c r="W26" s="29">
        <f>Инв!X31</f>
        <v>0</v>
      </c>
      <c r="X26" s="29">
        <f>Инв!Y31</f>
        <v>0</v>
      </c>
      <c r="Y26" s="29">
        <f>Инв!Z31</f>
        <v>0</v>
      </c>
      <c r="Z26" s="29">
        <f>Инв!AA31</f>
        <v>0</v>
      </c>
      <c r="AA26" s="29">
        <f>Инв!AB31</f>
        <v>0</v>
      </c>
      <c r="AB26" s="29">
        <f>Инв!AC31</f>
        <v>0</v>
      </c>
      <c r="AC26" s="27">
        <f>SUM(Q26:AB26)</f>
        <v>0</v>
      </c>
      <c r="AD26" s="27"/>
      <c r="AE26" s="27"/>
      <c r="AF26" s="27"/>
      <c r="AG26" s="27"/>
      <c r="AH26" s="27"/>
      <c r="AI26" s="27"/>
      <c r="AJ26" s="27"/>
    </row>
    <row r="27" spans="1:36" ht="12.75" outlineLevel="1">
      <c r="A27" s="37"/>
      <c r="B27" s="27">
        <f>P27+AC27+AD27+AE27+AF27+AG27+AH27+AI27</f>
        <v>0</v>
      </c>
      <c r="C27" s="27"/>
      <c r="D27" s="29"/>
      <c r="E27" s="29">
        <f>Инв!F8</f>
        <v>0</v>
      </c>
      <c r="F27" s="29">
        <f>Инв!G8</f>
        <v>0</v>
      </c>
      <c r="G27" s="29">
        <f>Инв!H8</f>
        <v>0</v>
      </c>
      <c r="H27" s="29">
        <f>Инв!I8</f>
        <v>0</v>
      </c>
      <c r="I27" s="29">
        <f>Инв!J8</f>
        <v>0</v>
      </c>
      <c r="J27" s="29">
        <f>Инв!K8</f>
        <v>0</v>
      </c>
      <c r="K27" s="29">
        <f>Инв!L8</f>
        <v>0</v>
      </c>
      <c r="L27" s="29"/>
      <c r="M27" s="29"/>
      <c r="N27" s="29">
        <f>Инв!O8</f>
        <v>0</v>
      </c>
      <c r="O27" s="29">
        <f>Инв!P8</f>
        <v>0</v>
      </c>
      <c r="P27" s="27">
        <f>SUM(D27:O27)</f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7"/>
      <c r="AD27" s="27"/>
      <c r="AE27" s="27"/>
      <c r="AF27" s="27"/>
      <c r="AG27" s="27"/>
      <c r="AH27" s="27"/>
      <c r="AI27" s="27"/>
      <c r="AJ27" s="27"/>
    </row>
    <row r="28" spans="1:36" s="21" customFormat="1" ht="25.5">
      <c r="A28" s="38" t="s">
        <v>18</v>
      </c>
      <c r="B28" s="18">
        <f>B24-B25</f>
        <v>-8641</v>
      </c>
      <c r="C28" s="18"/>
      <c r="D28" s="18">
        <f>D24-D25</f>
        <v>0</v>
      </c>
      <c r="E28" s="18">
        <f aca="true" t="shared" si="13" ref="E28:AB28">E24-E25</f>
        <v>0</v>
      </c>
      <c r="F28" s="18">
        <f t="shared" si="13"/>
        <v>0</v>
      </c>
      <c r="G28" s="18">
        <f t="shared" si="13"/>
        <v>0</v>
      </c>
      <c r="H28" s="18">
        <f t="shared" si="13"/>
        <v>0</v>
      </c>
      <c r="I28" s="18">
        <f t="shared" si="13"/>
        <v>0</v>
      </c>
      <c r="J28" s="18">
        <f>J24-J25</f>
        <v>0</v>
      </c>
      <c r="K28" s="18">
        <f t="shared" si="13"/>
        <v>-1575</v>
      </c>
      <c r="L28" s="18">
        <f t="shared" si="13"/>
        <v>-2902.5</v>
      </c>
      <c r="M28" s="18">
        <f t="shared" si="13"/>
        <v>-4163.5</v>
      </c>
      <c r="N28" s="18">
        <f t="shared" si="13"/>
        <v>0</v>
      </c>
      <c r="O28" s="18">
        <f t="shared" si="13"/>
        <v>0</v>
      </c>
      <c r="P28" s="18">
        <f>SUM(D28:O28)</f>
        <v>-8641</v>
      </c>
      <c r="Q28" s="18">
        <f t="shared" si="13"/>
        <v>0</v>
      </c>
      <c r="R28" s="18">
        <f t="shared" si="13"/>
        <v>0</v>
      </c>
      <c r="S28" s="18">
        <f t="shared" si="13"/>
        <v>0</v>
      </c>
      <c r="T28" s="18">
        <f t="shared" si="13"/>
        <v>0</v>
      </c>
      <c r="U28" s="18">
        <f t="shared" si="13"/>
        <v>0</v>
      </c>
      <c r="V28" s="18">
        <f t="shared" si="13"/>
        <v>0</v>
      </c>
      <c r="W28" s="18">
        <f t="shared" si="13"/>
        <v>0</v>
      </c>
      <c r="X28" s="18">
        <f t="shared" si="13"/>
        <v>0</v>
      </c>
      <c r="Y28" s="18">
        <f t="shared" si="13"/>
        <v>0</v>
      </c>
      <c r="Z28" s="18">
        <f t="shared" si="13"/>
        <v>0</v>
      </c>
      <c r="AA28" s="18">
        <f t="shared" si="13"/>
        <v>0</v>
      </c>
      <c r="AB28" s="18">
        <f t="shared" si="13"/>
        <v>0</v>
      </c>
      <c r="AC28" s="18">
        <f>SUM(Q28:AB28)</f>
        <v>0</v>
      </c>
      <c r="AD28" s="18"/>
      <c r="AE28" s="18"/>
      <c r="AF28" s="18"/>
      <c r="AG28" s="18"/>
      <c r="AH28" s="18"/>
      <c r="AI28" s="18"/>
      <c r="AJ28" s="18"/>
    </row>
    <row r="29" spans="1:36" s="42" customFormat="1" ht="12.75">
      <c r="A29" s="39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/>
      <c r="AD29" s="41"/>
      <c r="AE29" s="41"/>
      <c r="AF29" s="41"/>
      <c r="AG29" s="41"/>
      <c r="AH29" s="41"/>
      <c r="AI29" s="41"/>
      <c r="AJ29" s="41"/>
    </row>
    <row r="30" spans="1:36" s="21" customFormat="1" ht="12.75">
      <c r="A30" s="22" t="s">
        <v>20</v>
      </c>
      <c r="B30" s="23"/>
      <c r="C30" s="2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5"/>
      <c r="AD30" s="35"/>
      <c r="AE30" s="35"/>
      <c r="AF30" s="35"/>
      <c r="AG30" s="35"/>
      <c r="AH30" s="35"/>
      <c r="AI30" s="35"/>
      <c r="AJ30" s="35"/>
    </row>
    <row r="31" spans="1:36" s="21" customFormat="1" ht="12.75">
      <c r="A31" s="26" t="s">
        <v>4</v>
      </c>
      <c r="B31" s="27">
        <f>SUM(B32:B33)</f>
        <v>9754.5</v>
      </c>
      <c r="C31" s="27"/>
      <c r="D31" s="27">
        <f aca="true" t="shared" si="14" ref="D31:AI31">SUM(D32:D33)</f>
        <v>0</v>
      </c>
      <c r="E31" s="27">
        <f t="shared" si="14"/>
        <v>0</v>
      </c>
      <c r="F31" s="27">
        <f t="shared" si="14"/>
        <v>0</v>
      </c>
      <c r="G31" s="27">
        <f t="shared" si="14"/>
        <v>0</v>
      </c>
      <c r="H31" s="27">
        <f t="shared" si="14"/>
        <v>0</v>
      </c>
      <c r="I31" s="27">
        <f t="shared" si="14"/>
        <v>0</v>
      </c>
      <c r="J31" s="27">
        <f t="shared" si="14"/>
        <v>0</v>
      </c>
      <c r="K31" s="27">
        <f t="shared" si="14"/>
        <v>1575</v>
      </c>
      <c r="L31" s="27">
        <f t="shared" si="14"/>
        <v>2902.5</v>
      </c>
      <c r="M31" s="27">
        <f t="shared" si="14"/>
        <v>4177</v>
      </c>
      <c r="N31" s="27">
        <f t="shared" si="14"/>
        <v>0</v>
      </c>
      <c r="O31" s="27">
        <f t="shared" si="14"/>
        <v>0</v>
      </c>
      <c r="P31" s="27">
        <f t="shared" si="14"/>
        <v>8654.5</v>
      </c>
      <c r="Q31" s="27">
        <f t="shared" si="14"/>
        <v>0</v>
      </c>
      <c r="R31" s="27">
        <f t="shared" si="14"/>
        <v>0</v>
      </c>
      <c r="S31" s="27">
        <f t="shared" si="14"/>
        <v>0</v>
      </c>
      <c r="T31" s="27">
        <f t="shared" si="14"/>
        <v>0</v>
      </c>
      <c r="U31" s="27">
        <f t="shared" si="14"/>
        <v>0</v>
      </c>
      <c r="V31" s="27">
        <f t="shared" si="14"/>
        <v>100</v>
      </c>
      <c r="W31" s="27">
        <f t="shared" si="14"/>
        <v>500</v>
      </c>
      <c r="X31" s="27">
        <f t="shared" si="14"/>
        <v>400</v>
      </c>
      <c r="Y31" s="27">
        <f t="shared" si="14"/>
        <v>100</v>
      </c>
      <c r="Z31" s="27">
        <f t="shared" si="14"/>
        <v>0</v>
      </c>
      <c r="AA31" s="27">
        <f t="shared" si="14"/>
        <v>0</v>
      </c>
      <c r="AB31" s="27">
        <f t="shared" si="14"/>
        <v>0</v>
      </c>
      <c r="AC31" s="27">
        <f t="shared" si="14"/>
        <v>1100</v>
      </c>
      <c r="AD31" s="27">
        <f t="shared" si="14"/>
        <v>0</v>
      </c>
      <c r="AE31" s="27">
        <f t="shared" si="14"/>
        <v>0</v>
      </c>
      <c r="AF31" s="27">
        <f t="shared" si="14"/>
        <v>0</v>
      </c>
      <c r="AG31" s="27">
        <f t="shared" si="14"/>
        <v>0</v>
      </c>
      <c r="AH31" s="27">
        <f t="shared" si="14"/>
        <v>0</v>
      </c>
      <c r="AI31" s="27">
        <f t="shared" si="14"/>
        <v>0</v>
      </c>
      <c r="AJ31" s="27">
        <f>SUM(AJ32:AJ33)</f>
        <v>0</v>
      </c>
    </row>
    <row r="32" spans="1:36" ht="12.75" customHeight="1">
      <c r="A32" s="37" t="s">
        <v>190</v>
      </c>
      <c r="B32" s="27">
        <f>P32+AC32+AD32+AE32+AF32+AG32+AH32+AI32+AJ32</f>
        <v>2398.175</v>
      </c>
      <c r="C32" s="27"/>
      <c r="D32" s="29">
        <f>D26</f>
        <v>0</v>
      </c>
      <c r="E32" s="29"/>
      <c r="F32" s="29"/>
      <c r="G32" s="29"/>
      <c r="H32" s="29"/>
      <c r="I32" s="29"/>
      <c r="J32" s="29">
        <f>J26</f>
        <v>0</v>
      </c>
      <c r="K32" s="29">
        <f>K26*0.15</f>
        <v>236.25</v>
      </c>
      <c r="L32" s="29">
        <f>L26*0.15</f>
        <v>435.375</v>
      </c>
      <c r="M32" s="29">
        <f>(M26+M16)*0.15</f>
        <v>626.55</v>
      </c>
      <c r="N32" s="29">
        <f>N19</f>
        <v>0</v>
      </c>
      <c r="O32" s="29">
        <f>O19</f>
        <v>0</v>
      </c>
      <c r="P32" s="27">
        <f>SUM(D32:O32)</f>
        <v>1298.175</v>
      </c>
      <c r="Q32" s="29">
        <f>Q19</f>
        <v>0</v>
      </c>
      <c r="R32" s="29">
        <f>R19</f>
        <v>0</v>
      </c>
      <c r="S32" s="29"/>
      <c r="T32" s="29"/>
      <c r="U32" s="29"/>
      <c r="V32" s="288">
        <v>100</v>
      </c>
      <c r="W32" s="288">
        <v>500</v>
      </c>
      <c r="X32" s="288">
        <v>400</v>
      </c>
      <c r="Y32" s="288">
        <v>100</v>
      </c>
      <c r="Z32" s="29"/>
      <c r="AA32" s="29"/>
      <c r="AB32" s="29"/>
      <c r="AC32" s="27">
        <f>SUM(Q32:AB32)</f>
        <v>1100</v>
      </c>
      <c r="AD32" s="27"/>
      <c r="AE32" s="27"/>
      <c r="AF32" s="27"/>
      <c r="AG32" s="27"/>
      <c r="AH32" s="27"/>
      <c r="AI32" s="27"/>
      <c r="AJ32" s="27"/>
    </row>
    <row r="33" spans="1:36" ht="12.75">
      <c r="A33" s="43" t="s">
        <v>189</v>
      </c>
      <c r="B33" s="27">
        <f>P33+AC33+AD33+AE33+AF33+AG33+AH33+AI33+AJ33</f>
        <v>7356.325</v>
      </c>
      <c r="C33" s="27"/>
      <c r="D33" s="44"/>
      <c r="E33" s="44"/>
      <c r="F33" s="44"/>
      <c r="G33" s="44"/>
      <c r="H33" s="44"/>
      <c r="I33" s="44"/>
      <c r="J33" s="44"/>
      <c r="K33" s="44">
        <f>K26-K32</f>
        <v>1338.75</v>
      </c>
      <c r="L33" s="44">
        <f>L26-L32</f>
        <v>2467.125</v>
      </c>
      <c r="M33" s="44">
        <f>(M26+M16)-M32</f>
        <v>3550.45</v>
      </c>
      <c r="N33" s="44"/>
      <c r="O33" s="44"/>
      <c r="P33" s="27">
        <f>SUM(D33:O33)</f>
        <v>7356.325</v>
      </c>
      <c r="Q33" s="44"/>
      <c r="R33" s="44"/>
      <c r="S33" s="44">
        <f>S25+T25+U25</f>
        <v>0</v>
      </c>
      <c r="T33" s="44"/>
      <c r="U33" s="44"/>
      <c r="V33" s="44">
        <f>V25</f>
        <v>0</v>
      </c>
      <c r="W33" s="44"/>
      <c r="X33" s="44"/>
      <c r="Y33" s="44"/>
      <c r="Z33" s="44"/>
      <c r="AA33" s="44"/>
      <c r="AB33" s="44"/>
      <c r="AC33" s="27">
        <f>SUM(Q33:AB33)</f>
        <v>0</v>
      </c>
      <c r="AD33" s="27"/>
      <c r="AE33" s="27"/>
      <c r="AF33" s="27"/>
      <c r="AG33" s="27"/>
      <c r="AH33" s="27"/>
      <c r="AI33" s="27"/>
      <c r="AJ33" s="27"/>
    </row>
    <row r="34" spans="1:36" s="21" customFormat="1" ht="12.75">
      <c r="A34" s="26" t="s">
        <v>5</v>
      </c>
      <c r="B34" s="27">
        <f>SUM(B35:B36)</f>
        <v>7613.796374999968</v>
      </c>
      <c r="C34" s="27"/>
      <c r="D34" s="27">
        <f aca="true" t="shared" si="15" ref="D34:AI34">SUM(D35:D36)</f>
        <v>0</v>
      </c>
      <c r="E34" s="27">
        <f t="shared" si="15"/>
        <v>0</v>
      </c>
      <c r="F34" s="27">
        <f t="shared" si="15"/>
        <v>0</v>
      </c>
      <c r="G34" s="27">
        <f t="shared" si="15"/>
        <v>0</v>
      </c>
      <c r="H34" s="27">
        <f t="shared" si="15"/>
        <v>0</v>
      </c>
      <c r="I34" s="27">
        <f t="shared" si="15"/>
        <v>0</v>
      </c>
      <c r="J34" s="27">
        <f t="shared" si="15"/>
        <v>0</v>
      </c>
      <c r="K34" s="27">
        <f t="shared" si="15"/>
        <v>0</v>
      </c>
      <c r="L34" s="27">
        <f t="shared" si="15"/>
        <v>0</v>
      </c>
      <c r="M34" s="27">
        <f t="shared" si="15"/>
        <v>0</v>
      </c>
      <c r="N34" s="27">
        <f t="shared" si="15"/>
        <v>0</v>
      </c>
      <c r="O34" s="27">
        <f t="shared" si="15"/>
        <v>0</v>
      </c>
      <c r="P34" s="27">
        <f t="shared" si="15"/>
        <v>0</v>
      </c>
      <c r="Q34" s="27">
        <f t="shared" si="15"/>
        <v>0</v>
      </c>
      <c r="R34" s="27">
        <f t="shared" si="15"/>
        <v>0</v>
      </c>
      <c r="S34" s="27">
        <f t="shared" si="15"/>
        <v>0</v>
      </c>
      <c r="T34" s="27">
        <f t="shared" si="15"/>
        <v>0</v>
      </c>
      <c r="U34" s="27">
        <f t="shared" si="15"/>
        <v>0</v>
      </c>
      <c r="V34" s="27">
        <f t="shared" si="15"/>
        <v>0</v>
      </c>
      <c r="W34" s="27">
        <f t="shared" si="15"/>
        <v>0</v>
      </c>
      <c r="X34" s="27">
        <f t="shared" si="15"/>
        <v>0</v>
      </c>
      <c r="Y34" s="27">
        <f t="shared" si="15"/>
        <v>15.54050679885149</v>
      </c>
      <c r="Z34" s="27">
        <f t="shared" si="15"/>
        <v>44.270093713061584</v>
      </c>
      <c r="AA34" s="27">
        <f t="shared" si="15"/>
        <v>85.7427466557863</v>
      </c>
      <c r="AB34" s="27">
        <f t="shared" si="15"/>
        <v>86.24291267794504</v>
      </c>
      <c r="AC34" s="27">
        <f t="shared" si="15"/>
        <v>231.7962598456444</v>
      </c>
      <c r="AD34" s="27">
        <f t="shared" si="15"/>
        <v>1075.0071581192092</v>
      </c>
      <c r="AE34" s="27">
        <f t="shared" si="15"/>
        <v>1152.719512500679</v>
      </c>
      <c r="AF34" s="27">
        <f t="shared" si="15"/>
        <v>1236.0496992639135</v>
      </c>
      <c r="AG34" s="27">
        <f t="shared" si="15"/>
        <v>1325.4038319660276</v>
      </c>
      <c r="AH34" s="27">
        <f t="shared" si="15"/>
        <v>1421.2173821460167</v>
      </c>
      <c r="AI34" s="27">
        <f t="shared" si="15"/>
        <v>1171.6025311584779</v>
      </c>
      <c r="AJ34" s="27">
        <f>SUM(AJ35:AJ36)</f>
        <v>0</v>
      </c>
    </row>
    <row r="35" spans="1:36" ht="12.75">
      <c r="A35" s="28" t="s">
        <v>28</v>
      </c>
      <c r="B35" s="27">
        <f>P35+AC35+AD35+AE35+AF35+AG35+AH35+AI35+AJ35</f>
        <v>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27">
        <f>SUM(D35:O35)</f>
        <v>0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27">
        <f>SUM(Q35:AB35)</f>
        <v>0</v>
      </c>
      <c r="AD35" s="27"/>
      <c r="AE35" s="27"/>
      <c r="AF35" s="27"/>
      <c r="AG35" s="27"/>
      <c r="AH35" s="27"/>
      <c r="AI35" s="27"/>
      <c r="AJ35" s="27"/>
    </row>
    <row r="36" spans="1:36" ht="13.5" customHeight="1">
      <c r="A36" s="37" t="s">
        <v>184</v>
      </c>
      <c r="B36" s="27">
        <f>P36+AC36+AD36+AE36+AF36+AG36+AH36+AI36+AJ36</f>
        <v>7613.796374999968</v>
      </c>
      <c r="C36" s="27"/>
      <c r="D36" s="33">
        <f>кр!C10</f>
        <v>0</v>
      </c>
      <c r="E36" s="33">
        <f>кр!D10</f>
        <v>0</v>
      </c>
      <c r="F36" s="33">
        <f>кр!E10</f>
        <v>0</v>
      </c>
      <c r="G36" s="33">
        <f>кр!F10</f>
        <v>0</v>
      </c>
      <c r="H36" s="33">
        <f>кр!G10</f>
        <v>0</v>
      </c>
      <c r="I36" s="33">
        <f>кр!H10</f>
        <v>0</v>
      </c>
      <c r="J36" s="33">
        <f>кр!I10</f>
        <v>0</v>
      </c>
      <c r="K36" s="33">
        <f>кр!J10</f>
        <v>0</v>
      </c>
      <c r="L36" s="33">
        <f>кр!K10</f>
        <v>0</v>
      </c>
      <c r="M36" s="33">
        <f>кр!L10</f>
        <v>0</v>
      </c>
      <c r="N36" s="33">
        <f>кр!M10</f>
        <v>0</v>
      </c>
      <c r="O36" s="33">
        <f>кр!N10</f>
        <v>0</v>
      </c>
      <c r="P36" s="27">
        <f>SUM(D36:O36)</f>
        <v>0</v>
      </c>
      <c r="Q36" s="33">
        <f>кр!P10</f>
        <v>0</v>
      </c>
      <c r="R36" s="33">
        <f>кр!Q10</f>
        <v>0</v>
      </c>
      <c r="S36" s="33">
        <f>кр!R10</f>
        <v>0</v>
      </c>
      <c r="T36" s="33">
        <f>кр!S10</f>
        <v>0</v>
      </c>
      <c r="U36" s="33">
        <f>кр!T10</f>
        <v>0</v>
      </c>
      <c r="V36" s="33">
        <f>кр!U10</f>
        <v>0</v>
      </c>
      <c r="W36" s="33">
        <f>кр!V10</f>
        <v>0</v>
      </c>
      <c r="X36" s="33">
        <f>кр!W10</f>
        <v>0</v>
      </c>
      <c r="Y36" s="33">
        <f>кр!X10</f>
        <v>15.54050679885149</v>
      </c>
      <c r="Z36" s="33">
        <f>кр!Y10</f>
        <v>44.270093713061584</v>
      </c>
      <c r="AA36" s="33">
        <f>кр!Z10</f>
        <v>85.7427466557863</v>
      </c>
      <c r="AB36" s="33">
        <f>кр!AA10</f>
        <v>86.24291267794504</v>
      </c>
      <c r="AC36" s="27">
        <f>SUM(Q36:AB36)</f>
        <v>231.7962598456444</v>
      </c>
      <c r="AD36" s="33">
        <f>кр!AO10</f>
        <v>1075.0071581192092</v>
      </c>
      <c r="AE36" s="33">
        <f>кр!BB10</f>
        <v>1152.719512500679</v>
      </c>
      <c r="AF36" s="33">
        <f>кр!BO10</f>
        <v>1236.0496992639135</v>
      </c>
      <c r="AG36" s="33">
        <f>кр!CB10</f>
        <v>1325.4038319660276</v>
      </c>
      <c r="AH36" s="33">
        <f>кр!CO10</f>
        <v>1421.2173821460167</v>
      </c>
      <c r="AI36" s="33">
        <f>кр!DB10</f>
        <v>1171.6025311584779</v>
      </c>
      <c r="AJ36" s="33">
        <f>кр!DO10</f>
        <v>0</v>
      </c>
    </row>
    <row r="37" spans="1:36" s="21" customFormat="1" ht="12.75">
      <c r="A37" s="38" t="s">
        <v>21</v>
      </c>
      <c r="B37" s="18">
        <f>B31-B34</f>
        <v>2140.703625000032</v>
      </c>
      <c r="C37" s="18"/>
      <c r="D37" s="18">
        <f aca="true" t="shared" si="16" ref="D37:AI37">D31-D34</f>
        <v>0</v>
      </c>
      <c r="E37" s="18">
        <f t="shared" si="16"/>
        <v>0</v>
      </c>
      <c r="F37" s="18">
        <f t="shared" si="16"/>
        <v>0</v>
      </c>
      <c r="G37" s="18">
        <f t="shared" si="16"/>
        <v>0</v>
      </c>
      <c r="H37" s="18">
        <f t="shared" si="16"/>
        <v>0</v>
      </c>
      <c r="I37" s="18">
        <f t="shared" si="16"/>
        <v>0</v>
      </c>
      <c r="J37" s="18">
        <f t="shared" si="16"/>
        <v>0</v>
      </c>
      <c r="K37" s="18">
        <f t="shared" si="16"/>
        <v>1575</v>
      </c>
      <c r="L37" s="18">
        <f t="shared" si="16"/>
        <v>2902.5</v>
      </c>
      <c r="M37" s="18">
        <f t="shared" si="16"/>
        <v>4177</v>
      </c>
      <c r="N37" s="18">
        <f t="shared" si="16"/>
        <v>0</v>
      </c>
      <c r="O37" s="18">
        <f t="shared" si="16"/>
        <v>0</v>
      </c>
      <c r="P37" s="18">
        <f t="shared" si="16"/>
        <v>8654.5</v>
      </c>
      <c r="Q37" s="18">
        <f t="shared" si="16"/>
        <v>0</v>
      </c>
      <c r="R37" s="18">
        <f t="shared" si="16"/>
        <v>0</v>
      </c>
      <c r="S37" s="18">
        <f t="shared" si="16"/>
        <v>0</v>
      </c>
      <c r="T37" s="18">
        <f t="shared" si="16"/>
        <v>0</v>
      </c>
      <c r="U37" s="18">
        <f t="shared" si="16"/>
        <v>0</v>
      </c>
      <c r="V37" s="18">
        <f t="shared" si="16"/>
        <v>100</v>
      </c>
      <c r="W37" s="18">
        <f t="shared" si="16"/>
        <v>500</v>
      </c>
      <c r="X37" s="18">
        <f t="shared" si="16"/>
        <v>400</v>
      </c>
      <c r="Y37" s="18">
        <f t="shared" si="16"/>
        <v>84.4594932011485</v>
      </c>
      <c r="Z37" s="18">
        <f t="shared" si="16"/>
        <v>-44.270093713061584</v>
      </c>
      <c r="AA37" s="18">
        <f t="shared" si="16"/>
        <v>-85.7427466557863</v>
      </c>
      <c r="AB37" s="18">
        <f t="shared" si="16"/>
        <v>-86.24291267794504</v>
      </c>
      <c r="AC37" s="18">
        <f t="shared" si="16"/>
        <v>868.2037401543556</v>
      </c>
      <c r="AD37" s="18">
        <f t="shared" si="16"/>
        <v>-1075.0071581192092</v>
      </c>
      <c r="AE37" s="18">
        <f t="shared" si="16"/>
        <v>-1152.719512500679</v>
      </c>
      <c r="AF37" s="18">
        <f t="shared" si="16"/>
        <v>-1236.0496992639135</v>
      </c>
      <c r="AG37" s="18">
        <f t="shared" si="16"/>
        <v>-1325.4038319660276</v>
      </c>
      <c r="AH37" s="18">
        <f t="shared" si="16"/>
        <v>-1421.2173821460167</v>
      </c>
      <c r="AI37" s="18">
        <f t="shared" si="16"/>
        <v>-1171.6025311584779</v>
      </c>
      <c r="AJ37" s="18">
        <f>AJ31-AJ34</f>
        <v>0</v>
      </c>
    </row>
    <row r="38" spans="1:36" s="47" customFormat="1" ht="12.75">
      <c r="A38" s="45" t="s">
        <v>22</v>
      </c>
      <c r="B38" s="46">
        <f>B22+B28+B37</f>
        <v>18875.679800528138</v>
      </c>
      <c r="C38" s="27"/>
      <c r="D38" s="46">
        <f aca="true" t="shared" si="17" ref="D38:AI38">D22+D28+D37</f>
        <v>0</v>
      </c>
      <c r="E38" s="46">
        <f t="shared" si="17"/>
        <v>0</v>
      </c>
      <c r="F38" s="46">
        <f t="shared" si="17"/>
        <v>0</v>
      </c>
      <c r="G38" s="46">
        <f t="shared" si="17"/>
        <v>0</v>
      </c>
      <c r="H38" s="46">
        <f t="shared" si="17"/>
        <v>0</v>
      </c>
      <c r="I38" s="46">
        <f t="shared" si="17"/>
        <v>0</v>
      </c>
      <c r="J38" s="46">
        <f t="shared" si="17"/>
        <v>0</v>
      </c>
      <c r="K38" s="46">
        <f t="shared" si="17"/>
        <v>0</v>
      </c>
      <c r="L38" s="46">
        <f t="shared" si="17"/>
        <v>0</v>
      </c>
      <c r="M38" s="46">
        <f t="shared" si="17"/>
        <v>0</v>
      </c>
      <c r="N38" s="46">
        <f t="shared" si="17"/>
        <v>154.66042249999998</v>
      </c>
      <c r="O38" s="46">
        <f t="shared" si="17"/>
        <v>265.86939125000004</v>
      </c>
      <c r="P38" s="46">
        <f t="shared" si="17"/>
        <v>420.52981374999945</v>
      </c>
      <c r="Q38" s="46">
        <f t="shared" si="17"/>
        <v>283.1483742500001</v>
      </c>
      <c r="R38" s="46">
        <f t="shared" si="17"/>
        <v>-129.54662574999998</v>
      </c>
      <c r="S38" s="46">
        <f t="shared" si="17"/>
        <v>-83.60643312499997</v>
      </c>
      <c r="T38" s="46">
        <f t="shared" si="17"/>
        <v>-53.05170031250009</v>
      </c>
      <c r="U38" s="46">
        <f t="shared" si="17"/>
        <v>-74.48754218750014</v>
      </c>
      <c r="V38" s="46">
        <f t="shared" si="17"/>
        <v>-355.18754218749996</v>
      </c>
      <c r="W38" s="46">
        <f t="shared" si="17"/>
        <v>44.81245781250004</v>
      </c>
      <c r="X38" s="46">
        <f t="shared" si="17"/>
        <v>-55.18754218749996</v>
      </c>
      <c r="Y38" s="46">
        <f t="shared" si="17"/>
        <v>9.971951013648365</v>
      </c>
      <c r="Z38" s="46">
        <f t="shared" si="17"/>
        <v>8.233017055765089</v>
      </c>
      <c r="AA38" s="46">
        <f t="shared" si="17"/>
        <v>93.91860632636664</v>
      </c>
      <c r="AB38" s="46">
        <f t="shared" si="17"/>
        <v>256.81860632636653</v>
      </c>
      <c r="AC38" s="46">
        <f>AC22+AC28+AC37</f>
        <v>-54.164372965356165</v>
      </c>
      <c r="AD38" s="46">
        <f t="shared" si="17"/>
        <v>1175.4590379164006</v>
      </c>
      <c r="AE38" s="46">
        <f t="shared" si="17"/>
        <v>2189.730909131432</v>
      </c>
      <c r="AF38" s="46">
        <f t="shared" si="17"/>
        <v>2340.323294132867</v>
      </c>
      <c r="AG38" s="46">
        <f t="shared" si="17"/>
        <v>2534.7973074493793</v>
      </c>
      <c r="AH38" s="46">
        <f t="shared" si="17"/>
        <v>2694.81285034744</v>
      </c>
      <c r="AI38" s="46">
        <f t="shared" si="17"/>
        <v>3136.824431764373</v>
      </c>
      <c r="AJ38" s="46">
        <f>AJ22+AJ28+AJ37</f>
        <v>4437.3665290016</v>
      </c>
    </row>
    <row r="39" spans="1:45" s="21" customFormat="1" ht="12.75">
      <c r="A39" s="48" t="s">
        <v>48</v>
      </c>
      <c r="B39" s="27">
        <f>B7+B22+B28+B37</f>
        <v>18875.679800528138</v>
      </c>
      <c r="C39" s="49"/>
      <c r="D39" s="50">
        <f aca="true" t="shared" si="18" ref="D39:O39">D7+D22+D28+D37</f>
        <v>0</v>
      </c>
      <c r="E39" s="50">
        <f t="shared" si="18"/>
        <v>0</v>
      </c>
      <c r="F39" s="50">
        <f t="shared" si="18"/>
        <v>0</v>
      </c>
      <c r="G39" s="50">
        <f t="shared" si="18"/>
        <v>0</v>
      </c>
      <c r="H39" s="50">
        <f t="shared" si="18"/>
        <v>0</v>
      </c>
      <c r="I39" s="50">
        <f t="shared" si="18"/>
        <v>0</v>
      </c>
      <c r="J39" s="50">
        <f t="shared" si="18"/>
        <v>0</v>
      </c>
      <c r="K39" s="50">
        <f t="shared" si="18"/>
        <v>0</v>
      </c>
      <c r="L39" s="50">
        <f t="shared" si="18"/>
        <v>0</v>
      </c>
      <c r="M39" s="50">
        <f t="shared" si="18"/>
        <v>0</v>
      </c>
      <c r="N39" s="50">
        <f t="shared" si="18"/>
        <v>154.66042249999998</v>
      </c>
      <c r="O39" s="50">
        <f t="shared" si="18"/>
        <v>420.52981375</v>
      </c>
      <c r="P39" s="51">
        <f>O39</f>
        <v>420.52981375</v>
      </c>
      <c r="Q39" s="50">
        <f aca="true" t="shared" si="19" ref="Q39:AB39">P39+Q22+Q28+Q37</f>
        <v>703.6781880000001</v>
      </c>
      <c r="R39" s="50">
        <f t="shared" si="19"/>
        <v>574.1315622500001</v>
      </c>
      <c r="S39" s="50">
        <f t="shared" si="19"/>
        <v>490.52512912500015</v>
      </c>
      <c r="T39" s="50">
        <f t="shared" si="19"/>
        <v>437.47342881250006</v>
      </c>
      <c r="U39" s="50">
        <f t="shared" si="19"/>
        <v>362.9858866249999</v>
      </c>
      <c r="V39" s="50">
        <f t="shared" si="19"/>
        <v>7.7983444374999635</v>
      </c>
      <c r="W39" s="50">
        <f t="shared" si="19"/>
        <v>52.610802250000006</v>
      </c>
      <c r="X39" s="50">
        <f t="shared" si="19"/>
        <v>-2.5767399374999513</v>
      </c>
      <c r="Y39" s="50">
        <f t="shared" si="19"/>
        <v>7.3952110761484136</v>
      </c>
      <c r="Z39" s="50">
        <f t="shared" si="19"/>
        <v>15.628228131913502</v>
      </c>
      <c r="AA39" s="50">
        <f t="shared" si="19"/>
        <v>109.54683445828013</v>
      </c>
      <c r="AB39" s="50">
        <f t="shared" si="19"/>
        <v>366.3654407846467</v>
      </c>
      <c r="AC39" s="50">
        <f>AB39</f>
        <v>366.3654407846467</v>
      </c>
      <c r="AD39" s="50">
        <f aca="true" t="shared" si="20" ref="AD39:AJ39">AC39+AD22+AD28+AD37</f>
        <v>1541.8244787010472</v>
      </c>
      <c r="AE39" s="50">
        <f t="shared" si="20"/>
        <v>3731.555387832479</v>
      </c>
      <c r="AF39" s="50">
        <f t="shared" si="20"/>
        <v>6071.878681965346</v>
      </c>
      <c r="AG39" s="50">
        <f t="shared" si="20"/>
        <v>8606.675989414725</v>
      </c>
      <c r="AH39" s="50">
        <f t="shared" si="20"/>
        <v>11301.488839762165</v>
      </c>
      <c r="AI39" s="50">
        <f t="shared" si="20"/>
        <v>14438.313271526538</v>
      </c>
      <c r="AJ39" s="50">
        <f t="shared" si="20"/>
        <v>18875.679800528138</v>
      </c>
      <c r="AK39" s="7">
        <v>2013</v>
      </c>
      <c r="AL39" s="7">
        <f aca="true" t="shared" si="21" ref="AL39:AO40">AK39+1</f>
        <v>2014</v>
      </c>
      <c r="AM39" s="7">
        <f t="shared" si="21"/>
        <v>2015</v>
      </c>
      <c r="AN39" s="7">
        <f t="shared" si="21"/>
        <v>2016</v>
      </c>
      <c r="AO39" s="7">
        <f t="shared" si="21"/>
        <v>2017</v>
      </c>
      <c r="AP39" s="7">
        <f aca="true" t="shared" si="22" ref="AP39:AR40">AO39+1</f>
        <v>2018</v>
      </c>
      <c r="AQ39" s="7">
        <f t="shared" si="22"/>
        <v>2019</v>
      </c>
      <c r="AR39" s="7">
        <f t="shared" si="22"/>
        <v>2020</v>
      </c>
      <c r="AS39" s="7">
        <f>AR39+1</f>
        <v>2021</v>
      </c>
    </row>
    <row r="40" spans="1:45" ht="12.75">
      <c r="A40" s="52"/>
      <c r="B40" s="53">
        <f>AJ39</f>
        <v>18875.679800528138</v>
      </c>
      <c r="C40" s="54"/>
      <c r="D40" s="55">
        <f aca="true" t="shared" si="23" ref="D40:M40">D7+D38-D39</f>
        <v>0</v>
      </c>
      <c r="E40" s="55">
        <f t="shared" si="23"/>
        <v>0</v>
      </c>
      <c r="F40" s="55">
        <f t="shared" si="23"/>
        <v>0</v>
      </c>
      <c r="G40" s="55">
        <f t="shared" si="23"/>
        <v>0</v>
      </c>
      <c r="H40" s="55">
        <f t="shared" si="23"/>
        <v>0</v>
      </c>
      <c r="I40" s="55">
        <f t="shared" si="23"/>
        <v>0</v>
      </c>
      <c r="J40" s="55">
        <f t="shared" si="23"/>
        <v>0</v>
      </c>
      <c r="K40" s="55">
        <f t="shared" si="23"/>
        <v>0</v>
      </c>
      <c r="L40" s="55">
        <f t="shared" si="23"/>
        <v>0</v>
      </c>
      <c r="M40" s="55">
        <f t="shared" si="23"/>
        <v>0</v>
      </c>
      <c r="N40" s="55"/>
      <c r="O40" s="55">
        <f>O7+O38-O39</f>
        <v>0</v>
      </c>
      <c r="P40" s="55"/>
      <c r="Q40" s="55">
        <f>Q7+Q38-Q39</f>
        <v>0</v>
      </c>
      <c r="R40" s="55">
        <f>R7+R38-R39</f>
        <v>0</v>
      </c>
      <c r="S40" s="55">
        <f>S7+S38-S39</f>
        <v>0</v>
      </c>
      <c r="T40" s="55">
        <f>T7+T38-T39</f>
        <v>0</v>
      </c>
      <c r="U40" s="55"/>
      <c r="V40" s="55"/>
      <c r="W40" s="55">
        <f aca="true" t="shared" si="24" ref="W40:AB40">W7+W38-W39</f>
        <v>0</v>
      </c>
      <c r="X40" s="55">
        <f t="shared" si="24"/>
        <v>0</v>
      </c>
      <c r="Y40" s="55">
        <f t="shared" si="24"/>
        <v>0</v>
      </c>
      <c r="Z40" s="55">
        <f t="shared" si="24"/>
        <v>0</v>
      </c>
      <c r="AA40" s="55">
        <f t="shared" si="24"/>
        <v>0</v>
      </c>
      <c r="AB40" s="55">
        <f t="shared" si="24"/>
        <v>0</v>
      </c>
      <c r="AC40" s="55"/>
      <c r="AD40" s="55">
        <f>AD7+AD38-AD39</f>
        <v>0</v>
      </c>
      <c r="AE40" s="55">
        <f>AE7+AE38-AE39</f>
        <v>0</v>
      </c>
      <c r="AF40" s="55">
        <f>AF7+AF38-AF39</f>
        <v>0</v>
      </c>
      <c r="AG40" s="55">
        <f>AG7+AG38-AG39</f>
        <v>0</v>
      </c>
      <c r="AH40" s="55">
        <f>AH7+AH38-AH39</f>
        <v>0</v>
      </c>
      <c r="AK40" s="62">
        <v>0</v>
      </c>
      <c r="AL40" s="62">
        <f t="shared" si="21"/>
        <v>1</v>
      </c>
      <c r="AM40" s="62">
        <f t="shared" si="21"/>
        <v>2</v>
      </c>
      <c r="AN40" s="62">
        <f t="shared" si="21"/>
        <v>3</v>
      </c>
      <c r="AO40" s="62">
        <f t="shared" si="21"/>
        <v>4</v>
      </c>
      <c r="AP40" s="62">
        <f t="shared" si="22"/>
        <v>5</v>
      </c>
      <c r="AQ40" s="62">
        <f t="shared" si="22"/>
        <v>6</v>
      </c>
      <c r="AR40" s="62">
        <f t="shared" si="22"/>
        <v>7</v>
      </c>
      <c r="AS40" s="62">
        <f>AR40+1</f>
        <v>8</v>
      </c>
    </row>
    <row r="41" spans="1:45" ht="12.75">
      <c r="A41" s="52" t="s">
        <v>53</v>
      </c>
      <c r="B41" s="63">
        <f>B39-B40</f>
        <v>0</v>
      </c>
      <c r="C41" s="54"/>
      <c r="P41" s="6"/>
      <c r="AK41" s="57">
        <f>P38</f>
        <v>420.52981374999945</v>
      </c>
      <c r="AL41" s="57">
        <f aca="true" t="shared" si="25" ref="AL41:AS41">AC38</f>
        <v>-54.164372965356165</v>
      </c>
      <c r="AM41" s="57">
        <f t="shared" si="25"/>
        <v>1175.4590379164006</v>
      </c>
      <c r="AN41" s="57">
        <f t="shared" si="25"/>
        <v>2189.730909131432</v>
      </c>
      <c r="AO41" s="57">
        <f t="shared" si="25"/>
        <v>2340.323294132867</v>
      </c>
      <c r="AP41" s="57">
        <f t="shared" si="25"/>
        <v>2534.7973074493793</v>
      </c>
      <c r="AQ41" s="57">
        <f t="shared" si="25"/>
        <v>2694.81285034744</v>
      </c>
      <c r="AR41" s="57">
        <f t="shared" si="25"/>
        <v>3136.824431764373</v>
      </c>
      <c r="AS41" s="57">
        <f t="shared" si="25"/>
        <v>4437.3665290016</v>
      </c>
    </row>
    <row r="42" spans="1:45" ht="12.75">
      <c r="A42" s="52" t="s">
        <v>54</v>
      </c>
      <c r="B42" s="54"/>
      <c r="C42" s="54"/>
      <c r="AK42" s="57">
        <f>AK41+P36+P35+P19</f>
        <v>420.52981374999945</v>
      </c>
      <c r="AL42" s="57">
        <f aca="true" t="shared" si="26" ref="AL42:AS42">AL41+AC36+AC35+AC19</f>
        <v>562.7144484999972</v>
      </c>
      <c r="AM42" s="57">
        <f t="shared" si="26"/>
        <v>2733.1510020000023</v>
      </c>
      <c r="AN42" s="57">
        <f t="shared" si="26"/>
        <v>3747.4228732150336</v>
      </c>
      <c r="AO42" s="57">
        <f t="shared" si="26"/>
        <v>3898.0152582164687</v>
      </c>
      <c r="AP42" s="57">
        <f t="shared" si="26"/>
        <v>4092.489271532981</v>
      </c>
      <c r="AQ42" s="57">
        <f t="shared" si="26"/>
        <v>4252.504814431041</v>
      </c>
      <c r="AR42" s="57">
        <f t="shared" si="26"/>
        <v>4344.120447507622</v>
      </c>
      <c r="AS42" s="57">
        <f t="shared" si="26"/>
        <v>4437.366529001602</v>
      </c>
    </row>
    <row r="43" spans="1:45" ht="12.75">
      <c r="A43" s="52" t="s">
        <v>55</v>
      </c>
      <c r="B43" s="54"/>
      <c r="C43" s="54"/>
      <c r="V43" s="57"/>
      <c r="AK43" s="57">
        <f>P31</f>
        <v>8654.5</v>
      </c>
      <c r="AL43" s="57">
        <f>AC31</f>
        <v>1100</v>
      </c>
      <c r="AM43" s="57"/>
      <c r="AN43" s="57"/>
      <c r="AO43" s="57"/>
      <c r="AP43" s="57"/>
      <c r="AQ43" s="57"/>
      <c r="AR43" s="57"/>
      <c r="AS43" s="57"/>
    </row>
    <row r="44" spans="1:45" ht="12.75">
      <c r="A44" s="64" t="s">
        <v>56</v>
      </c>
      <c r="B44" s="54"/>
      <c r="C44" s="54"/>
      <c r="AK44" s="65">
        <f>AK42-AK43</f>
        <v>-8233.97018625</v>
      </c>
      <c r="AL44" s="65">
        <f aca="true" t="shared" si="27" ref="AL44:AQ44">AL42-AL43</f>
        <v>-537.2855515000028</v>
      </c>
      <c r="AM44" s="65">
        <f t="shared" si="27"/>
        <v>2733.1510020000023</v>
      </c>
      <c r="AN44" s="65">
        <f t="shared" si="27"/>
        <v>3747.4228732150336</v>
      </c>
      <c r="AO44" s="65">
        <f t="shared" si="27"/>
        <v>3898.0152582164687</v>
      </c>
      <c r="AP44" s="65">
        <f t="shared" si="27"/>
        <v>4092.489271532981</v>
      </c>
      <c r="AQ44" s="65">
        <f t="shared" si="27"/>
        <v>4252.504814431041</v>
      </c>
      <c r="AR44" s="65">
        <f>AR42-AR43</f>
        <v>4344.120447507622</v>
      </c>
      <c r="AS44" s="65">
        <f>AS42-AS43</f>
        <v>4437.366529001602</v>
      </c>
    </row>
    <row r="45" spans="1:45" ht="12.75">
      <c r="A45" s="66" t="s">
        <v>57</v>
      </c>
      <c r="B45" s="54"/>
      <c r="C45" s="54"/>
      <c r="AK45" s="67">
        <f>AK44/(1+Исх!$C$7)^'1-Ф3'!AK40</f>
        <v>-8233.97018625</v>
      </c>
      <c r="AL45" s="67">
        <f>AL44/(1+Исх!$C$7)^'1-Ф3'!AL40</f>
        <v>-495.4729700394316</v>
      </c>
      <c r="AM45" s="67">
        <f>AM44/(1+Исх!$C$7)^'1-Ф3'!AM40</f>
        <v>2324.3056440708056</v>
      </c>
      <c r="AN45" s="67">
        <f>AN44/(1+Исх!$C$7)^'1-Ф3'!AN40</f>
        <v>2938.8479617648245</v>
      </c>
      <c r="AO45" s="67">
        <f>AO44/(1+Исх!$C$7)^'1-Ф3'!AO40</f>
        <v>2819.049849325897</v>
      </c>
      <c r="AP45" s="67">
        <f>AP44/(1+Исх!$C$7)^'1-Ф3'!AP40</f>
        <v>2729.3647330311474</v>
      </c>
      <c r="AQ45" s="67">
        <f>AQ44/(1+Исх!$C$7)^'1-Ф3'!AQ40</f>
        <v>2615.3730555929587</v>
      </c>
      <c r="AR45" s="67">
        <f>AR44/(1+Исх!$C$7)^'1-Ф3'!AR40</f>
        <v>2463.8002483269893</v>
      </c>
      <c r="AS45" s="67">
        <f>AS44/(1+Исх!$C$7)^'1-Ф3'!AS40</f>
        <v>2320.832218220392</v>
      </c>
    </row>
    <row r="46" spans="1:45" ht="12.75">
      <c r="A46" s="64" t="s">
        <v>58</v>
      </c>
      <c r="B46" s="54"/>
      <c r="C46" s="54"/>
      <c r="AK46" s="65">
        <f>AK44</f>
        <v>-8233.97018625</v>
      </c>
      <c r="AL46" s="65">
        <f aca="true" t="shared" si="28" ref="AL46:AO47">AK46+AL44</f>
        <v>-8771.255737750003</v>
      </c>
      <c r="AM46" s="65">
        <f t="shared" si="28"/>
        <v>-6038.104735750001</v>
      </c>
      <c r="AN46" s="65">
        <f t="shared" si="28"/>
        <v>-2290.6818625349674</v>
      </c>
      <c r="AO46" s="65">
        <f t="shared" si="28"/>
        <v>1607.3333956815013</v>
      </c>
      <c r="AP46" s="65">
        <f aca="true" t="shared" si="29" ref="AP46:AR47">AO46+AP44</f>
        <v>5699.822667214483</v>
      </c>
      <c r="AQ46" s="65">
        <f t="shared" si="29"/>
        <v>9952.327481645523</v>
      </c>
      <c r="AR46" s="65">
        <f t="shared" si="29"/>
        <v>14296.447929153146</v>
      </c>
      <c r="AS46" s="65">
        <f>AR46+AS44</f>
        <v>18733.81445815475</v>
      </c>
    </row>
    <row r="47" spans="1:45" ht="12.75">
      <c r="A47" s="66" t="s">
        <v>59</v>
      </c>
      <c r="B47" s="54"/>
      <c r="C47" s="54"/>
      <c r="AK47" s="67">
        <f>AK45</f>
        <v>-8233.97018625</v>
      </c>
      <c r="AL47" s="67">
        <f t="shared" si="28"/>
        <v>-8729.443156289431</v>
      </c>
      <c r="AM47" s="67">
        <f t="shared" si="28"/>
        <v>-6405.1375122186255</v>
      </c>
      <c r="AN47" s="67">
        <f t="shared" si="28"/>
        <v>-3466.289550453801</v>
      </c>
      <c r="AO47" s="67">
        <f t="shared" si="28"/>
        <v>-647.239701127904</v>
      </c>
      <c r="AP47" s="67">
        <f t="shared" si="29"/>
        <v>2082.1250319032433</v>
      </c>
      <c r="AQ47" s="67">
        <f t="shared" si="29"/>
        <v>4697.498087496202</v>
      </c>
      <c r="AR47" s="67">
        <f t="shared" si="29"/>
        <v>7161.298335823191</v>
      </c>
      <c r="AS47" s="67">
        <f>AR47+AS45</f>
        <v>9482.130554043582</v>
      </c>
    </row>
    <row r="48" spans="1:45" ht="12.75">
      <c r="A48" s="52" t="s">
        <v>60</v>
      </c>
      <c r="B48" s="54"/>
      <c r="C48" s="54"/>
      <c r="AK48" s="57">
        <f>NPV(Исх!$C$7,'1-Ф3'!$AK42:AK42)</f>
        <v>387.8033854197922</v>
      </c>
      <c r="AL48" s="57">
        <f>NPV(Исх!$C$7,'1-Ф3'!$AK42:AL42)</f>
        <v>866.3427590920314</v>
      </c>
      <c r="AM48" s="57">
        <f>NPV(Исх!$C$7,'1-Ф3'!$AK42:AM42)</f>
        <v>3009.7665260852705</v>
      </c>
      <c r="AN48" s="57">
        <f>NPV(Исх!$C$7,'1-Ф3'!$AK42:AN42)</f>
        <v>5719.907761122631</v>
      </c>
      <c r="AO48" s="57">
        <f>NPV(Исх!$C$7,'1-Ф3'!$AK42:AO42)</f>
        <v>8319.573800224573</v>
      </c>
      <c r="AP48" s="57">
        <f>NPV(Исх!$C$7,'1-Ф3'!$AK42:AP42)</f>
        <v>10836.53418901667</v>
      </c>
      <c r="AQ48" s="57">
        <f>NPV(Исх!$C$7,'1-Ф3'!$AK42:AQ42)</f>
        <v>13248.373949080902</v>
      </c>
      <c r="AR48" s="57">
        <f>NPV(Исх!$C$7,'1-Ф3'!$AK42:AR42)</f>
        <v>15520.436585446912</v>
      </c>
      <c r="AS48" s="57">
        <f>NPV(Исх!$C$7,'1-Ф3'!$AK42:AS42)</f>
        <v>17660.65723518246</v>
      </c>
    </row>
    <row r="49" spans="1:45" ht="12.75">
      <c r="A49" s="52" t="s">
        <v>61</v>
      </c>
      <c r="B49" s="54"/>
      <c r="C49" s="54"/>
      <c r="AK49" s="57">
        <f>NPV(Исх!$C$7,'1-Ф3'!$AK43:AK43)</f>
        <v>7980.990382553099</v>
      </c>
      <c r="AL49" s="57">
        <f>NPV(Исх!$C$7,'1-Ф3'!$AK43:AL43)</f>
        <v>8916.444079259567</v>
      </c>
      <c r="AM49" s="57">
        <f>NPV(Исх!$C$7,'1-Ф3'!$AK43:AM43)</f>
        <v>8916.444079259567</v>
      </c>
      <c r="AN49" s="57">
        <f>NPV(Исх!$C$7,'1-Ф3'!$AK43:AN43)</f>
        <v>8916.444079259567</v>
      </c>
      <c r="AO49" s="57">
        <f>NPV(Исх!$C$7,'1-Ф3'!$AK43:AO43)</f>
        <v>8916.444079259567</v>
      </c>
      <c r="AP49" s="57">
        <f>NPV(Исх!$C$7,'1-Ф3'!$AK43:AP43)</f>
        <v>8916.444079259567</v>
      </c>
      <c r="AQ49" s="57">
        <f>NPV(Исх!$C$7,'1-Ф3'!$AK43:AQ43)</f>
        <v>8916.444079259567</v>
      </c>
      <c r="AR49" s="57">
        <f>NPV(Исх!$C$7,'1-Ф3'!$AK43:AR43)</f>
        <v>8916.444079259567</v>
      </c>
      <c r="AS49" s="57">
        <f>NPV(Исх!$C$7,'1-Ф3'!$AK43:AS43)</f>
        <v>8916.444079259567</v>
      </c>
    </row>
    <row r="50" spans="1:45" ht="12.75">
      <c r="A50" s="52" t="s">
        <v>62</v>
      </c>
      <c r="B50" s="54"/>
      <c r="C50" s="54"/>
      <c r="AK50" s="57">
        <f aca="true" t="shared" si="30" ref="AK50:AQ50">AK48-AK49</f>
        <v>-7593.186997133307</v>
      </c>
      <c r="AL50" s="57">
        <f t="shared" si="30"/>
        <v>-8050.101320167536</v>
      </c>
      <c r="AM50" s="57">
        <f t="shared" si="30"/>
        <v>-5906.677553174297</v>
      </c>
      <c r="AN50" s="57">
        <f t="shared" si="30"/>
        <v>-3196.5363181369357</v>
      </c>
      <c r="AO50" s="57">
        <f t="shared" si="30"/>
        <v>-596.8702790349944</v>
      </c>
      <c r="AP50" s="57">
        <f t="shared" si="30"/>
        <v>1920.0901097571023</v>
      </c>
      <c r="AQ50" s="57">
        <f t="shared" si="30"/>
        <v>4331.929869821335</v>
      </c>
      <c r="AR50" s="57">
        <f>AR48-AR49</f>
        <v>6603.9925061873455</v>
      </c>
      <c r="AS50" s="57">
        <f>AS48-AS49</f>
        <v>8744.213155922895</v>
      </c>
    </row>
    <row r="51" spans="1:45" ht="12.75">
      <c r="A51" s="52" t="s">
        <v>63</v>
      </c>
      <c r="B51" s="54"/>
      <c r="C51" s="54"/>
      <c r="AK51" s="68">
        <f aca="true" t="shared" si="31" ref="AK51:AQ51">AK48/AK49</f>
        <v>0.0485908849442486</v>
      </c>
      <c r="AL51" s="68">
        <f t="shared" si="31"/>
        <v>0.09716236107028596</v>
      </c>
      <c r="AM51" s="68">
        <f t="shared" si="31"/>
        <v>0.3375523358113412</v>
      </c>
      <c r="AN51" s="68">
        <f t="shared" si="31"/>
        <v>0.6415009963924565</v>
      </c>
      <c r="AO51" s="68">
        <f t="shared" si="31"/>
        <v>0.9330596060795843</v>
      </c>
      <c r="AP51" s="68">
        <f t="shared" si="31"/>
        <v>1.2153425841836882</v>
      </c>
      <c r="AQ51" s="68">
        <f t="shared" si="31"/>
        <v>1.485836038595003</v>
      </c>
      <c r="AR51" s="68">
        <f>AR48/AR49</f>
        <v>1.7406531625705828</v>
      </c>
      <c r="AS51" s="68">
        <f>AS48/AS49</f>
        <v>1.9806839002403103</v>
      </c>
    </row>
    <row r="52" spans="1:45" ht="12.75">
      <c r="A52" s="52" t="s">
        <v>64</v>
      </c>
      <c r="B52" s="54"/>
      <c r="C52" s="54"/>
      <c r="AG52" s="69" t="str">
        <f>IF(ISERROR(IRR($AK44:AK$44))," ",IF(IRR($AK44:AK$44)&lt;0," ",IRR($AK44:AK$44)))</f>
        <v> </v>
      </c>
      <c r="AH52" s="69"/>
      <c r="AK52" s="69" t="str">
        <f>IF(ISERROR(IRR($AK44:AK$44))," ",IF(IRR($AK44:AK$44)&lt;0," ",IRR($AK44:AK$44)))</f>
        <v> </v>
      </c>
      <c r="AL52" s="69" t="str">
        <f>IF(ISERROR(IRR($AK44:AL$44))," ",IF(IRR($AK44:AL$44)&lt;0," ",IRR($AK44:AL$44)))</f>
        <v> </v>
      </c>
      <c r="AM52" s="69" t="str">
        <f>IF(ISERROR(IRR($AK44:AM$44))," ",IF(IRR($AK44:AM$44)&lt;0," ",IRR($AK44:AM$44)))</f>
        <v> </v>
      </c>
      <c r="AN52" s="69" t="str">
        <f>IF(ISERROR(IRR($AK44:AN$44))," ",IF(IRR($AK44:AN$44)&lt;0," ",IRR($AK44:AN$44)))</f>
        <v> </v>
      </c>
      <c r="AO52" s="69">
        <f>IF(ISERROR(IRR($AK44:AO$44))," ",IF(IRR($AK44:AO$44)&lt;0," ",IRR($AK44:AO$44)))</f>
        <v>0.05700445411872268</v>
      </c>
      <c r="AP52" s="69">
        <f>IF(ISERROR(IRR($AK44:AP$44))," ",IF(IRR($AK44:AP$44)&lt;0," ",IRR($AK44:AP$44)))</f>
        <v>0.15356930241998978</v>
      </c>
      <c r="AQ52" s="69">
        <f>IF(ISERROR(IRR($AK44:AQ$44))," ",IF(IRR($AK44:AQ$44)&lt;0," ",IRR($AK44:AQ$44)))</f>
        <v>0.2120433907801651</v>
      </c>
      <c r="AR52" s="69">
        <f>IF(ISERROR(IRR($AK44:AR$44))," ",IF(IRR($AK44:AR$44)&lt;0," ",IRR($AK44:AR$44)))</f>
        <v>0.24884355465864094</v>
      </c>
      <c r="AS52" s="69">
        <f>IF(ISERROR(IRR($AK44:AS$44))," ",IF(IRR($AK44:AS$44)&lt;0," ",IRR($AK44:AS$44)))</f>
        <v>0.2730051404502083</v>
      </c>
    </row>
    <row r="53" spans="1:3" ht="12.75">
      <c r="A53" s="70" t="s">
        <v>30</v>
      </c>
      <c r="B53" s="58">
        <f>AN40-AN46/AO44+2/12</f>
        <v>3.7543200519905264</v>
      </c>
      <c r="C53" s="54"/>
    </row>
    <row r="54" spans="1:3" ht="12.75">
      <c r="A54" s="70" t="s">
        <v>25</v>
      </c>
      <c r="B54" s="58">
        <f>AO40-AO47/AP45+2/12</f>
        <v>4.403805988243926</v>
      </c>
      <c r="C54" s="54"/>
    </row>
    <row r="55" spans="1:3" ht="12.75">
      <c r="A55" s="52"/>
      <c r="B55" s="54"/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" ht="12.75">
      <c r="A64" s="52"/>
      <c r="B64" s="54"/>
      <c r="C64" s="54"/>
    </row>
    <row r="65" spans="1:3" ht="12.75">
      <c r="A65" s="52"/>
      <c r="B65" s="54"/>
      <c r="C65" s="54"/>
    </row>
    <row r="66" spans="1:3" ht="12.75">
      <c r="A66" s="52"/>
      <c r="B66" s="54"/>
      <c r="C66" s="54"/>
    </row>
    <row r="67" spans="1:32" ht="12.75">
      <c r="A67" s="52"/>
      <c r="B67" s="54"/>
      <c r="C67" s="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2.75">
      <c r="A68" s="52"/>
      <c r="B68" s="54"/>
      <c r="C68" s="5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>
      <c r="A69" s="52"/>
      <c r="B69" s="54"/>
      <c r="C69" s="5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2.75">
      <c r="A70" s="52"/>
      <c r="B70" s="54"/>
      <c r="C70" s="5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2.75">
      <c r="A71" s="52"/>
      <c r="B71" s="54"/>
      <c r="C71" s="5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2.75">
      <c r="A72" s="52"/>
      <c r="B72" s="54"/>
      <c r="C72" s="5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2.75">
      <c r="A73" s="52"/>
      <c r="B73" s="54"/>
      <c r="C73" s="5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2.75">
      <c r="A74" s="52"/>
      <c r="B74" s="54"/>
      <c r="C74" s="5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2.75">
      <c r="A75" s="52"/>
      <c r="B75" s="54"/>
      <c r="C75" s="5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2.75">
      <c r="A76" s="52"/>
      <c r="B76" s="54"/>
      <c r="C76" s="5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2.75">
      <c r="A77" s="52"/>
      <c r="B77" s="54"/>
      <c r="C77" s="5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2.75">
      <c r="A78" s="52"/>
      <c r="B78" s="54"/>
      <c r="C78" s="5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2.75">
      <c r="A79" s="52"/>
      <c r="B79" s="54"/>
      <c r="C79" s="5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2.75">
      <c r="A80" s="52"/>
      <c r="B80" s="54"/>
      <c r="C80" s="5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2.75">
      <c r="A81" s="52"/>
      <c r="B81" s="54"/>
      <c r="C81" s="5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2.75">
      <c r="A82" s="52"/>
      <c r="B82" s="54"/>
      <c r="C82" s="5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2.75">
      <c r="A83" s="52"/>
      <c r="B83" s="54"/>
      <c r="C83" s="5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2.75">
      <c r="A84" s="52"/>
      <c r="B84" s="54"/>
      <c r="C84" s="5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2.75">
      <c r="A85" s="52"/>
      <c r="B85" s="54"/>
      <c r="C85" s="5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2.75">
      <c r="A86" s="52"/>
      <c r="B86" s="54"/>
      <c r="C86" s="5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2.75">
      <c r="A87" s="52"/>
      <c r="B87" s="54"/>
      <c r="C87" s="5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2.75">
      <c r="A88" s="52"/>
      <c r="B88" s="54"/>
      <c r="C88" s="5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2.75">
      <c r="A89" s="52"/>
      <c r="B89" s="54"/>
      <c r="C89" s="5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2.75">
      <c r="A90" s="52"/>
      <c r="B90" s="54"/>
      <c r="C90" s="5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2.75">
      <c r="A91" s="52"/>
      <c r="B91" s="54"/>
      <c r="C91" s="5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2.75">
      <c r="A92" s="52"/>
      <c r="B92" s="54"/>
      <c r="C92" s="5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2.75">
      <c r="A93" s="52"/>
      <c r="B93" s="54"/>
      <c r="C93" s="5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2.75">
      <c r="A94" s="52"/>
      <c r="B94" s="54"/>
      <c r="C94" s="5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2.75">
      <c r="A95" s="52"/>
      <c r="B95" s="54"/>
      <c r="C95" s="5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2.75">
      <c r="A96" s="52"/>
      <c r="B96" s="54"/>
      <c r="C96" s="5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2.75">
      <c r="A97" s="52"/>
      <c r="B97" s="54"/>
      <c r="C97" s="5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2.75">
      <c r="A98" s="52"/>
      <c r="B98" s="54"/>
      <c r="C98" s="5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2.75">
      <c r="A99" s="52"/>
      <c r="B99" s="54"/>
      <c r="C99" s="5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2.75">
      <c r="A100" s="52"/>
      <c r="B100" s="54"/>
      <c r="C100" s="5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2.75">
      <c r="A101" s="52"/>
      <c r="B101" s="54"/>
      <c r="C101" s="5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2.75">
      <c r="A102" s="52"/>
      <c r="B102" s="54"/>
      <c r="C102" s="5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2.75">
      <c r="A103" s="52"/>
      <c r="B103" s="54"/>
      <c r="C103" s="5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2.75">
      <c r="A104" s="52"/>
      <c r="B104" s="54"/>
      <c r="C104" s="5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2.75">
      <c r="A105" s="52"/>
      <c r="B105" s="54"/>
      <c r="C105" s="5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2.75">
      <c r="A106" s="52"/>
      <c r="B106" s="54"/>
      <c r="C106" s="5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2.75">
      <c r="A107" s="52"/>
      <c r="B107" s="54"/>
      <c r="C107" s="5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2.75">
      <c r="A108" s="52"/>
      <c r="B108" s="54"/>
      <c r="C108" s="5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2.75">
      <c r="A109" s="52"/>
      <c r="B109" s="54"/>
      <c r="C109" s="5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2.75">
      <c r="A110" s="52"/>
      <c r="B110" s="54"/>
      <c r="C110" s="5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2.75">
      <c r="A111" s="52"/>
      <c r="B111" s="54"/>
      <c r="C111" s="5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2.75">
      <c r="A112" s="52"/>
      <c r="B112" s="54"/>
      <c r="C112" s="5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2.75">
      <c r="A113" s="52"/>
      <c r="B113" s="54"/>
      <c r="C113" s="5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2.75">
      <c r="A114" s="52"/>
      <c r="B114" s="54"/>
      <c r="C114" s="5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2.75">
      <c r="A115" s="52"/>
      <c r="B115" s="54"/>
      <c r="C115" s="5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2.75">
      <c r="A116" s="52"/>
      <c r="B116" s="54"/>
      <c r="C116" s="5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2.75">
      <c r="A117" s="52"/>
      <c r="B117" s="54"/>
      <c r="C117" s="5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2.75">
      <c r="A118" s="52"/>
      <c r="B118" s="54"/>
      <c r="C118" s="5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2.75">
      <c r="A119" s="52"/>
      <c r="B119" s="54"/>
      <c r="C119" s="5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2.75">
      <c r="A120" s="52"/>
      <c r="B120" s="54"/>
      <c r="C120" s="5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2.75">
      <c r="A121" s="52"/>
      <c r="B121" s="54"/>
      <c r="C121" s="5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2.75">
      <c r="A122" s="52"/>
      <c r="B122" s="54"/>
      <c r="C122" s="5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2.75">
      <c r="A123" s="52"/>
      <c r="B123" s="54"/>
      <c r="C123" s="5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2.75">
      <c r="A124" s="52"/>
      <c r="B124" s="54"/>
      <c r="C124" s="5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2.75">
      <c r="A125" s="52"/>
      <c r="B125" s="54"/>
      <c r="C125" s="5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2.75">
      <c r="A126" s="52"/>
      <c r="B126" s="54"/>
      <c r="C126" s="5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2.75">
      <c r="A127" s="52"/>
      <c r="B127" s="54"/>
      <c r="C127" s="5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2.75">
      <c r="A128" s="52"/>
      <c r="B128" s="54"/>
      <c r="C128" s="5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2.75">
      <c r="A129" s="52"/>
      <c r="B129" s="54"/>
      <c r="C129" s="5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2.75">
      <c r="A130" s="52"/>
      <c r="B130" s="54"/>
      <c r="C130" s="5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2.75">
      <c r="A131" s="52"/>
      <c r="B131" s="54"/>
      <c r="C131" s="5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2.75">
      <c r="A132" s="52"/>
      <c r="B132" s="54"/>
      <c r="C132" s="5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2.75">
      <c r="A133" s="52"/>
      <c r="B133" s="54"/>
      <c r="C133" s="5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2.75">
      <c r="A134" s="52"/>
      <c r="B134" s="54"/>
      <c r="C134" s="5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2.75">
      <c r="A135" s="52"/>
      <c r="B135" s="54"/>
      <c r="C135" s="5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2.75">
      <c r="A136" s="52"/>
      <c r="B136" s="54"/>
      <c r="C136" s="5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2.75">
      <c r="A137" s="52"/>
      <c r="B137" s="54"/>
      <c r="C137" s="5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2.75">
      <c r="A138" s="52"/>
      <c r="B138" s="54"/>
      <c r="C138" s="5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2.75">
      <c r="A139" s="52"/>
      <c r="B139" s="54"/>
      <c r="C139" s="5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12.75">
      <c r="A140" s="52"/>
      <c r="B140" s="54"/>
      <c r="C140" s="5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2.75">
      <c r="A141" s="52"/>
      <c r="B141" s="54"/>
      <c r="C141" s="5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12.75">
      <c r="A142" s="52"/>
      <c r="B142" s="54"/>
      <c r="C142" s="5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12.75">
      <c r="A143" s="52"/>
      <c r="B143" s="54"/>
      <c r="C143" s="5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12.75">
      <c r="A144" s="52"/>
      <c r="B144" s="54"/>
      <c r="C144" s="5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ht="12.75">
      <c r="A145" s="52"/>
      <c r="B145" s="54"/>
      <c r="C145" s="5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ht="12.75">
      <c r="A146" s="52"/>
      <c r="B146" s="54"/>
      <c r="C146" s="54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5905511811023623" bottom="0.35433070866141736" header="0.35433070866141736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DP60"/>
  <sheetViews>
    <sheetView showGridLines="0" zoomScalePageLayoutView="0" workbookViewId="0" topLeftCell="A1">
      <pane xSplit="2" ySplit="6" topLeftCell="O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Q23" sqref="DQ23"/>
    </sheetView>
  </sheetViews>
  <sheetFormatPr defaultColWidth="9.00390625" defaultRowHeight="12.75" outlineLevelCol="1"/>
  <cols>
    <col min="1" max="1" width="23.25390625" style="173" customWidth="1"/>
    <col min="2" max="2" width="12.125" style="173" customWidth="1"/>
    <col min="3" max="14" width="9.125" style="173" hidden="1" customWidth="1" outlineLevel="1"/>
    <col min="15" max="15" width="8.375" style="174" customWidth="1" collapsed="1"/>
    <col min="16" max="27" width="8.375" style="173" hidden="1" customWidth="1" outlineLevel="1"/>
    <col min="28" max="28" width="8.375" style="174" customWidth="1" collapsed="1"/>
    <col min="29" max="40" width="8.375" style="173" hidden="1" customWidth="1" outlineLevel="1"/>
    <col min="41" max="41" width="8.375" style="174" customWidth="1" collapsed="1"/>
    <col min="42" max="53" width="8.375" style="173" hidden="1" customWidth="1" outlineLevel="1"/>
    <col min="54" max="54" width="8.375" style="174" customWidth="1" collapsed="1"/>
    <col min="55" max="66" width="8.375" style="173" hidden="1" customWidth="1" outlineLevel="1"/>
    <col min="67" max="67" width="8.375" style="174" customWidth="1" collapsed="1"/>
    <col min="68" max="79" width="8.375" style="173" hidden="1" customWidth="1" outlineLevel="1"/>
    <col min="80" max="80" width="8.375" style="174" customWidth="1" collapsed="1"/>
    <col min="81" max="92" width="8.375" style="173" hidden="1" customWidth="1" outlineLevel="1"/>
    <col min="93" max="93" width="8.375" style="174" customWidth="1" collapsed="1"/>
    <col min="94" max="105" width="8.375" style="173" hidden="1" customWidth="1" outlineLevel="1"/>
    <col min="106" max="106" width="8.375" style="174" customWidth="1" collapsed="1"/>
    <col min="107" max="118" width="8.375" style="173" hidden="1" customWidth="1" outlineLevel="1"/>
    <col min="119" max="119" width="8.375" style="174" customWidth="1" collapsed="1"/>
    <col min="120" max="16384" width="9.125" style="173" customWidth="1"/>
  </cols>
  <sheetData>
    <row r="1" ht="9.75" customHeight="1"/>
    <row r="2" spans="1:15" ht="18.75" customHeight="1">
      <c r="A2" s="174" t="s">
        <v>90</v>
      </c>
      <c r="B2" s="175"/>
      <c r="D2" s="176"/>
      <c r="E2" s="176"/>
      <c r="F2" s="177"/>
      <c r="G2" s="176"/>
      <c r="O2" s="178"/>
    </row>
    <row r="3" spans="1:15" ht="13.5" customHeight="1">
      <c r="A3" s="179"/>
      <c r="B3" s="175"/>
      <c r="D3" s="176"/>
      <c r="E3" s="176"/>
      <c r="F3" s="177"/>
      <c r="G3" s="176"/>
      <c r="O3" s="178"/>
    </row>
    <row r="4" spans="1:2" ht="12.75">
      <c r="A4" s="281"/>
      <c r="B4" s="282"/>
    </row>
    <row r="5" spans="1:119" ht="15.75" customHeight="1">
      <c r="A5" s="180" t="s">
        <v>9</v>
      </c>
      <c r="B5" s="283">
        <f>Исх!C46</f>
        <v>0.07</v>
      </c>
      <c r="C5" s="350">
        <v>2013</v>
      </c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>
        <v>2014</v>
      </c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>
        <v>2015</v>
      </c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>
        <v>2016</v>
      </c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>
        <v>2017</v>
      </c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>
        <v>2018</v>
      </c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>
        <v>2019</v>
      </c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>
        <v>2020</v>
      </c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>
        <v>2021</v>
      </c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</row>
    <row r="6" spans="1:119" s="185" customFormat="1" ht="15" customHeight="1">
      <c r="A6" s="181" t="s">
        <v>7</v>
      </c>
      <c r="B6" s="182" t="s">
        <v>80</v>
      </c>
      <c r="C6" s="183">
        <v>1</v>
      </c>
      <c r="D6" s="183">
        <v>2</v>
      </c>
      <c r="E6" s="183">
        <f>D6+1</f>
        <v>3</v>
      </c>
      <c r="F6" s="183">
        <f aca="true" t="shared" si="0" ref="F6:N6">E6+1</f>
        <v>4</v>
      </c>
      <c r="G6" s="183">
        <f t="shared" si="0"/>
        <v>5</v>
      </c>
      <c r="H6" s="183">
        <f t="shared" si="0"/>
        <v>6</v>
      </c>
      <c r="I6" s="183">
        <f t="shared" si="0"/>
        <v>7</v>
      </c>
      <c r="J6" s="183">
        <f t="shared" si="0"/>
        <v>8</v>
      </c>
      <c r="K6" s="183">
        <f t="shared" si="0"/>
        <v>9</v>
      </c>
      <c r="L6" s="183">
        <f t="shared" si="0"/>
        <v>10</v>
      </c>
      <c r="M6" s="183">
        <f t="shared" si="0"/>
        <v>11</v>
      </c>
      <c r="N6" s="183">
        <f t="shared" si="0"/>
        <v>12</v>
      </c>
      <c r="O6" s="184" t="s">
        <v>0</v>
      </c>
      <c r="P6" s="183">
        <v>1</v>
      </c>
      <c r="Q6" s="183">
        <v>2</v>
      </c>
      <c r="R6" s="183">
        <f>Q6+1</f>
        <v>3</v>
      </c>
      <c r="S6" s="183">
        <f aca="true" t="shared" si="1" ref="S6:AA6">R6+1</f>
        <v>4</v>
      </c>
      <c r="T6" s="183">
        <f t="shared" si="1"/>
        <v>5</v>
      </c>
      <c r="U6" s="183">
        <f t="shared" si="1"/>
        <v>6</v>
      </c>
      <c r="V6" s="183">
        <f t="shared" si="1"/>
        <v>7</v>
      </c>
      <c r="W6" s="183">
        <f t="shared" si="1"/>
        <v>8</v>
      </c>
      <c r="X6" s="183">
        <f t="shared" si="1"/>
        <v>9</v>
      </c>
      <c r="Y6" s="183">
        <f t="shared" si="1"/>
        <v>10</v>
      </c>
      <c r="Z6" s="183">
        <f t="shared" si="1"/>
        <v>11</v>
      </c>
      <c r="AA6" s="183">
        <f t="shared" si="1"/>
        <v>12</v>
      </c>
      <c r="AB6" s="184" t="s">
        <v>0</v>
      </c>
      <c r="AC6" s="183">
        <v>1</v>
      </c>
      <c r="AD6" s="183">
        <v>2</v>
      </c>
      <c r="AE6" s="183">
        <f aca="true" t="shared" si="2" ref="AE6:BN6">AD6+1</f>
        <v>3</v>
      </c>
      <c r="AF6" s="183">
        <f t="shared" si="2"/>
        <v>4</v>
      </c>
      <c r="AG6" s="183">
        <f t="shared" si="2"/>
        <v>5</v>
      </c>
      <c r="AH6" s="183">
        <f t="shared" si="2"/>
        <v>6</v>
      </c>
      <c r="AI6" s="183">
        <f t="shared" si="2"/>
        <v>7</v>
      </c>
      <c r="AJ6" s="183">
        <f t="shared" si="2"/>
        <v>8</v>
      </c>
      <c r="AK6" s="183">
        <f t="shared" si="2"/>
        <v>9</v>
      </c>
      <c r="AL6" s="183">
        <f t="shared" si="2"/>
        <v>10</v>
      </c>
      <c r="AM6" s="183">
        <f t="shared" si="2"/>
        <v>11</v>
      </c>
      <c r="AN6" s="183">
        <f t="shared" si="2"/>
        <v>12</v>
      </c>
      <c r="AO6" s="184" t="s">
        <v>0</v>
      </c>
      <c r="AP6" s="183">
        <v>1</v>
      </c>
      <c r="AQ6" s="183">
        <v>2</v>
      </c>
      <c r="AR6" s="183">
        <f>AQ6+1</f>
        <v>3</v>
      </c>
      <c r="AS6" s="183">
        <f t="shared" si="2"/>
        <v>4</v>
      </c>
      <c r="AT6" s="183">
        <f t="shared" si="2"/>
        <v>5</v>
      </c>
      <c r="AU6" s="183">
        <f t="shared" si="2"/>
        <v>6</v>
      </c>
      <c r="AV6" s="183">
        <f t="shared" si="2"/>
        <v>7</v>
      </c>
      <c r="AW6" s="183">
        <f t="shared" si="2"/>
        <v>8</v>
      </c>
      <c r="AX6" s="183">
        <f t="shared" si="2"/>
        <v>9</v>
      </c>
      <c r="AY6" s="183">
        <f t="shared" si="2"/>
        <v>10</v>
      </c>
      <c r="AZ6" s="183">
        <f t="shared" si="2"/>
        <v>11</v>
      </c>
      <c r="BA6" s="183">
        <f t="shared" si="2"/>
        <v>12</v>
      </c>
      <c r="BB6" s="184" t="s">
        <v>0</v>
      </c>
      <c r="BC6" s="183">
        <v>1</v>
      </c>
      <c r="BD6" s="183">
        <v>2</v>
      </c>
      <c r="BE6" s="183">
        <f>BD6+1</f>
        <v>3</v>
      </c>
      <c r="BF6" s="183">
        <f t="shared" si="2"/>
        <v>4</v>
      </c>
      <c r="BG6" s="183">
        <f t="shared" si="2"/>
        <v>5</v>
      </c>
      <c r="BH6" s="183">
        <f t="shared" si="2"/>
        <v>6</v>
      </c>
      <c r="BI6" s="183">
        <f t="shared" si="2"/>
        <v>7</v>
      </c>
      <c r="BJ6" s="183">
        <f t="shared" si="2"/>
        <v>8</v>
      </c>
      <c r="BK6" s="183">
        <f t="shared" si="2"/>
        <v>9</v>
      </c>
      <c r="BL6" s="183">
        <f t="shared" si="2"/>
        <v>10</v>
      </c>
      <c r="BM6" s="183">
        <f t="shared" si="2"/>
        <v>11</v>
      </c>
      <c r="BN6" s="183">
        <f t="shared" si="2"/>
        <v>12</v>
      </c>
      <c r="BO6" s="184" t="s">
        <v>0</v>
      </c>
      <c r="BP6" s="183">
        <v>1</v>
      </c>
      <c r="BQ6" s="183">
        <v>2</v>
      </c>
      <c r="BR6" s="183">
        <f aca="true" t="shared" si="3" ref="BR6:CA6">BQ6+1</f>
        <v>3</v>
      </c>
      <c r="BS6" s="183">
        <f t="shared" si="3"/>
        <v>4</v>
      </c>
      <c r="BT6" s="183">
        <f t="shared" si="3"/>
        <v>5</v>
      </c>
      <c r="BU6" s="183">
        <f t="shared" si="3"/>
        <v>6</v>
      </c>
      <c r="BV6" s="183">
        <f t="shared" si="3"/>
        <v>7</v>
      </c>
      <c r="BW6" s="183">
        <f t="shared" si="3"/>
        <v>8</v>
      </c>
      <c r="BX6" s="183">
        <f t="shared" si="3"/>
        <v>9</v>
      </c>
      <c r="BY6" s="183">
        <f t="shared" si="3"/>
        <v>10</v>
      </c>
      <c r="BZ6" s="183">
        <f t="shared" si="3"/>
        <v>11</v>
      </c>
      <c r="CA6" s="183">
        <f t="shared" si="3"/>
        <v>12</v>
      </c>
      <c r="CB6" s="184" t="s">
        <v>0</v>
      </c>
      <c r="CC6" s="183">
        <v>1</v>
      </c>
      <c r="CD6" s="183">
        <v>2</v>
      </c>
      <c r="CE6" s="183">
        <f aca="true" t="shared" si="4" ref="CE6:CN6">CD6+1</f>
        <v>3</v>
      </c>
      <c r="CF6" s="183">
        <f t="shared" si="4"/>
        <v>4</v>
      </c>
      <c r="CG6" s="183">
        <f t="shared" si="4"/>
        <v>5</v>
      </c>
      <c r="CH6" s="183">
        <f t="shared" si="4"/>
        <v>6</v>
      </c>
      <c r="CI6" s="183">
        <f t="shared" si="4"/>
        <v>7</v>
      </c>
      <c r="CJ6" s="183">
        <f t="shared" si="4"/>
        <v>8</v>
      </c>
      <c r="CK6" s="183">
        <f t="shared" si="4"/>
        <v>9</v>
      </c>
      <c r="CL6" s="183">
        <f t="shared" si="4"/>
        <v>10</v>
      </c>
      <c r="CM6" s="183">
        <f t="shared" si="4"/>
        <v>11</v>
      </c>
      <c r="CN6" s="183">
        <f t="shared" si="4"/>
        <v>12</v>
      </c>
      <c r="CO6" s="184" t="s">
        <v>0</v>
      </c>
      <c r="CP6" s="183">
        <v>1</v>
      </c>
      <c r="CQ6" s="183">
        <v>2</v>
      </c>
      <c r="CR6" s="183">
        <f aca="true" t="shared" si="5" ref="CR6:DA6">CQ6+1</f>
        <v>3</v>
      </c>
      <c r="CS6" s="183">
        <f t="shared" si="5"/>
        <v>4</v>
      </c>
      <c r="CT6" s="183">
        <f t="shared" si="5"/>
        <v>5</v>
      </c>
      <c r="CU6" s="183">
        <f t="shared" si="5"/>
        <v>6</v>
      </c>
      <c r="CV6" s="183">
        <f t="shared" si="5"/>
        <v>7</v>
      </c>
      <c r="CW6" s="183">
        <f t="shared" si="5"/>
        <v>8</v>
      </c>
      <c r="CX6" s="183">
        <f t="shared" si="5"/>
        <v>9</v>
      </c>
      <c r="CY6" s="183">
        <f t="shared" si="5"/>
        <v>10</v>
      </c>
      <c r="CZ6" s="183">
        <f t="shared" si="5"/>
        <v>11</v>
      </c>
      <c r="DA6" s="183">
        <f t="shared" si="5"/>
        <v>12</v>
      </c>
      <c r="DB6" s="184" t="s">
        <v>0</v>
      </c>
      <c r="DC6" s="183">
        <v>1</v>
      </c>
      <c r="DD6" s="183">
        <v>2</v>
      </c>
      <c r="DE6" s="183">
        <f aca="true" t="shared" si="6" ref="DE6:DN6">DD6+1</f>
        <v>3</v>
      </c>
      <c r="DF6" s="183">
        <f t="shared" si="6"/>
        <v>4</v>
      </c>
      <c r="DG6" s="183">
        <f t="shared" si="6"/>
        <v>5</v>
      </c>
      <c r="DH6" s="183">
        <f t="shared" si="6"/>
        <v>6</v>
      </c>
      <c r="DI6" s="183">
        <f t="shared" si="6"/>
        <v>7</v>
      </c>
      <c r="DJ6" s="183">
        <f t="shared" si="6"/>
        <v>8</v>
      </c>
      <c r="DK6" s="183">
        <f t="shared" si="6"/>
        <v>9</v>
      </c>
      <c r="DL6" s="183">
        <f t="shared" si="6"/>
        <v>10</v>
      </c>
      <c r="DM6" s="183">
        <f t="shared" si="6"/>
        <v>11</v>
      </c>
      <c r="DN6" s="183">
        <f t="shared" si="6"/>
        <v>12</v>
      </c>
      <c r="DO6" s="184" t="s">
        <v>0</v>
      </c>
    </row>
    <row r="7" spans="1:120" ht="12.75">
      <c r="A7" s="181" t="s">
        <v>98</v>
      </c>
      <c r="B7" s="186">
        <f>O7+AB7+AO7+BB7+BO7+CB7+CO7+DB7+DO7</f>
        <v>7356.325</v>
      </c>
      <c r="C7" s="187">
        <f>C20+C35+C50</f>
        <v>0</v>
      </c>
      <c r="D7" s="187">
        <f aca="true" t="shared" si="7" ref="D7:N7">D20+D35+D50</f>
        <v>0</v>
      </c>
      <c r="E7" s="187">
        <f t="shared" si="7"/>
        <v>0</v>
      </c>
      <c r="F7" s="187">
        <f t="shared" si="7"/>
        <v>0</v>
      </c>
      <c r="G7" s="187">
        <f t="shared" si="7"/>
        <v>0</v>
      </c>
      <c r="H7" s="187">
        <f t="shared" si="7"/>
        <v>0</v>
      </c>
      <c r="I7" s="187">
        <f t="shared" si="7"/>
        <v>0</v>
      </c>
      <c r="J7" s="187">
        <f t="shared" si="7"/>
        <v>1338.75</v>
      </c>
      <c r="K7" s="187">
        <f t="shared" si="7"/>
        <v>2467.125</v>
      </c>
      <c r="L7" s="187">
        <f t="shared" si="7"/>
        <v>3550.45</v>
      </c>
      <c r="M7" s="187">
        <f t="shared" si="7"/>
        <v>0</v>
      </c>
      <c r="N7" s="187">
        <f t="shared" si="7"/>
        <v>0</v>
      </c>
      <c r="O7" s="188">
        <f>SUM(C7:N7)</f>
        <v>7356.325</v>
      </c>
      <c r="P7" s="187">
        <f aca="true" t="shared" si="8" ref="P7:AA7">P20+P35+P50</f>
        <v>0</v>
      </c>
      <c r="Q7" s="187">
        <f t="shared" si="8"/>
        <v>0</v>
      </c>
      <c r="R7" s="187">
        <f t="shared" si="8"/>
        <v>0</v>
      </c>
      <c r="S7" s="187">
        <f t="shared" si="8"/>
        <v>0</v>
      </c>
      <c r="T7" s="187">
        <f t="shared" si="8"/>
        <v>0</v>
      </c>
      <c r="U7" s="187">
        <f t="shared" si="8"/>
        <v>0</v>
      </c>
      <c r="V7" s="187">
        <f t="shared" si="8"/>
        <v>0</v>
      </c>
      <c r="W7" s="187">
        <f t="shared" si="8"/>
        <v>0</v>
      </c>
      <c r="X7" s="187">
        <f t="shared" si="8"/>
        <v>0</v>
      </c>
      <c r="Y7" s="187">
        <f t="shared" si="8"/>
        <v>0</v>
      </c>
      <c r="Z7" s="187">
        <f t="shared" si="8"/>
        <v>0</v>
      </c>
      <c r="AA7" s="187">
        <f t="shared" si="8"/>
        <v>0</v>
      </c>
      <c r="AB7" s="188">
        <f>SUM(P7:AA7)</f>
        <v>0</v>
      </c>
      <c r="AC7" s="187">
        <f aca="true" t="shared" si="9" ref="AC7:AN7">AC20+AC35+AC50</f>
        <v>0</v>
      </c>
      <c r="AD7" s="187">
        <f t="shared" si="9"/>
        <v>0</v>
      </c>
      <c r="AE7" s="187">
        <f t="shared" si="9"/>
        <v>0</v>
      </c>
      <c r="AF7" s="187">
        <f t="shared" si="9"/>
        <v>0</v>
      </c>
      <c r="AG7" s="187">
        <f t="shared" si="9"/>
        <v>0</v>
      </c>
      <c r="AH7" s="187">
        <f t="shared" si="9"/>
        <v>0</v>
      </c>
      <c r="AI7" s="187">
        <f t="shared" si="9"/>
        <v>0</v>
      </c>
      <c r="AJ7" s="187">
        <f t="shared" si="9"/>
        <v>0</v>
      </c>
      <c r="AK7" s="187">
        <f t="shared" si="9"/>
        <v>0</v>
      </c>
      <c r="AL7" s="187">
        <f t="shared" si="9"/>
        <v>0</v>
      </c>
      <c r="AM7" s="187">
        <f t="shared" si="9"/>
        <v>0</v>
      </c>
      <c r="AN7" s="187">
        <f t="shared" si="9"/>
        <v>0</v>
      </c>
      <c r="AO7" s="188">
        <f>SUM(AC7:AN7)</f>
        <v>0</v>
      </c>
      <c r="AP7" s="187">
        <f aca="true" t="shared" si="10" ref="AP7:BA7">AP20+AP35+AP50</f>
        <v>0</v>
      </c>
      <c r="AQ7" s="187">
        <f t="shared" si="10"/>
        <v>0</v>
      </c>
      <c r="AR7" s="187">
        <f t="shared" si="10"/>
        <v>0</v>
      </c>
      <c r="AS7" s="187">
        <f t="shared" si="10"/>
        <v>0</v>
      </c>
      <c r="AT7" s="187">
        <f t="shared" si="10"/>
        <v>0</v>
      </c>
      <c r="AU7" s="187">
        <f t="shared" si="10"/>
        <v>0</v>
      </c>
      <c r="AV7" s="187">
        <f t="shared" si="10"/>
        <v>0</v>
      </c>
      <c r="AW7" s="187">
        <f t="shared" si="10"/>
        <v>0</v>
      </c>
      <c r="AX7" s="187">
        <f t="shared" si="10"/>
        <v>0</v>
      </c>
      <c r="AY7" s="187">
        <f t="shared" si="10"/>
        <v>0</v>
      </c>
      <c r="AZ7" s="187">
        <f t="shared" si="10"/>
        <v>0</v>
      </c>
      <c r="BA7" s="187">
        <f t="shared" si="10"/>
        <v>0</v>
      </c>
      <c r="BB7" s="188">
        <f>SUM(AP7:BA7)</f>
        <v>0</v>
      </c>
      <c r="BC7" s="187">
        <f aca="true" t="shared" si="11" ref="BC7:BN7">BC20+BC35+BC50</f>
        <v>0</v>
      </c>
      <c r="BD7" s="187">
        <f t="shared" si="11"/>
        <v>0</v>
      </c>
      <c r="BE7" s="187">
        <f t="shared" si="11"/>
        <v>0</v>
      </c>
      <c r="BF7" s="187">
        <f t="shared" si="11"/>
        <v>0</v>
      </c>
      <c r="BG7" s="187">
        <f t="shared" si="11"/>
        <v>0</v>
      </c>
      <c r="BH7" s="187">
        <f t="shared" si="11"/>
        <v>0</v>
      </c>
      <c r="BI7" s="187">
        <f t="shared" si="11"/>
        <v>0</v>
      </c>
      <c r="BJ7" s="187">
        <f t="shared" si="11"/>
        <v>0</v>
      </c>
      <c r="BK7" s="187">
        <f t="shared" si="11"/>
        <v>0</v>
      </c>
      <c r="BL7" s="187">
        <f t="shared" si="11"/>
        <v>0</v>
      </c>
      <c r="BM7" s="187">
        <f t="shared" si="11"/>
        <v>0</v>
      </c>
      <c r="BN7" s="187">
        <f t="shared" si="11"/>
        <v>0</v>
      </c>
      <c r="BO7" s="188">
        <f>SUM(BC7:BN7)</f>
        <v>0</v>
      </c>
      <c r="BP7" s="187">
        <f aca="true" t="shared" si="12" ref="BP7:CA7">BP20+BP35+BP50</f>
        <v>0</v>
      </c>
      <c r="BQ7" s="187">
        <f t="shared" si="12"/>
        <v>0</v>
      </c>
      <c r="BR7" s="187">
        <f t="shared" si="12"/>
        <v>0</v>
      </c>
      <c r="BS7" s="187">
        <f t="shared" si="12"/>
        <v>0</v>
      </c>
      <c r="BT7" s="187">
        <f t="shared" si="12"/>
        <v>0</v>
      </c>
      <c r="BU7" s="187">
        <f t="shared" si="12"/>
        <v>0</v>
      </c>
      <c r="BV7" s="187">
        <f t="shared" si="12"/>
        <v>0</v>
      </c>
      <c r="BW7" s="187">
        <f t="shared" si="12"/>
        <v>0</v>
      </c>
      <c r="BX7" s="187">
        <f t="shared" si="12"/>
        <v>0</v>
      </c>
      <c r="BY7" s="187">
        <f t="shared" si="12"/>
        <v>0</v>
      </c>
      <c r="BZ7" s="187">
        <f t="shared" si="12"/>
        <v>0</v>
      </c>
      <c r="CA7" s="187">
        <f t="shared" si="12"/>
        <v>0</v>
      </c>
      <c r="CB7" s="188">
        <f>SUM(BP7:CA7)</f>
        <v>0</v>
      </c>
      <c r="CC7" s="187">
        <f aca="true" t="shared" si="13" ref="CC7:CN7">CC20+CC35+CC50</f>
        <v>0</v>
      </c>
      <c r="CD7" s="187">
        <f t="shared" si="13"/>
        <v>0</v>
      </c>
      <c r="CE7" s="187">
        <f t="shared" si="13"/>
        <v>0</v>
      </c>
      <c r="CF7" s="187">
        <f t="shared" si="13"/>
        <v>0</v>
      </c>
      <c r="CG7" s="187">
        <f t="shared" si="13"/>
        <v>0</v>
      </c>
      <c r="CH7" s="187">
        <f t="shared" si="13"/>
        <v>0</v>
      </c>
      <c r="CI7" s="187">
        <f t="shared" si="13"/>
        <v>0</v>
      </c>
      <c r="CJ7" s="187">
        <f t="shared" si="13"/>
        <v>0</v>
      </c>
      <c r="CK7" s="187">
        <f t="shared" si="13"/>
        <v>0</v>
      </c>
      <c r="CL7" s="187">
        <f t="shared" si="13"/>
        <v>0</v>
      </c>
      <c r="CM7" s="187">
        <f t="shared" si="13"/>
        <v>0</v>
      </c>
      <c r="CN7" s="187">
        <f t="shared" si="13"/>
        <v>0</v>
      </c>
      <c r="CO7" s="188">
        <f>SUM(CC7:CN7)</f>
        <v>0</v>
      </c>
      <c r="CP7" s="187">
        <f aca="true" t="shared" si="14" ref="CP7:DA7">CP20+CP35+CP50</f>
        <v>0</v>
      </c>
      <c r="CQ7" s="187">
        <f t="shared" si="14"/>
        <v>0</v>
      </c>
      <c r="CR7" s="187">
        <f t="shared" si="14"/>
        <v>0</v>
      </c>
      <c r="CS7" s="187">
        <f t="shared" si="14"/>
        <v>0</v>
      </c>
      <c r="CT7" s="187">
        <f t="shared" si="14"/>
        <v>0</v>
      </c>
      <c r="CU7" s="187">
        <f t="shared" si="14"/>
        <v>0</v>
      </c>
      <c r="CV7" s="187">
        <f t="shared" si="14"/>
        <v>0</v>
      </c>
      <c r="CW7" s="187">
        <f t="shared" si="14"/>
        <v>0</v>
      </c>
      <c r="CX7" s="187">
        <f t="shared" si="14"/>
        <v>0</v>
      </c>
      <c r="CY7" s="187">
        <f t="shared" si="14"/>
        <v>0</v>
      </c>
      <c r="CZ7" s="187">
        <f t="shared" si="14"/>
        <v>0</v>
      </c>
      <c r="DA7" s="187">
        <f t="shared" si="14"/>
        <v>0</v>
      </c>
      <c r="DB7" s="188">
        <f>SUM(CP7:DA7)</f>
        <v>0</v>
      </c>
      <c r="DC7" s="187">
        <f aca="true" t="shared" si="15" ref="DC7:DN7">DC20+DC35+DC50</f>
        <v>0</v>
      </c>
      <c r="DD7" s="187">
        <f t="shared" si="15"/>
        <v>0</v>
      </c>
      <c r="DE7" s="187">
        <f t="shared" si="15"/>
        <v>0</v>
      </c>
      <c r="DF7" s="187">
        <f t="shared" si="15"/>
        <v>0</v>
      </c>
      <c r="DG7" s="187">
        <f t="shared" si="15"/>
        <v>0</v>
      </c>
      <c r="DH7" s="187">
        <f t="shared" si="15"/>
        <v>0</v>
      </c>
      <c r="DI7" s="187">
        <f t="shared" si="15"/>
        <v>0</v>
      </c>
      <c r="DJ7" s="187">
        <f t="shared" si="15"/>
        <v>0</v>
      </c>
      <c r="DK7" s="187">
        <f t="shared" si="15"/>
        <v>0</v>
      </c>
      <c r="DL7" s="187">
        <f t="shared" si="15"/>
        <v>0</v>
      </c>
      <c r="DM7" s="187">
        <f t="shared" si="15"/>
        <v>0</v>
      </c>
      <c r="DN7" s="187">
        <f t="shared" si="15"/>
        <v>0</v>
      </c>
      <c r="DO7" s="188">
        <f>SUM(DC7:DN7)</f>
        <v>0</v>
      </c>
      <c r="DP7" s="189"/>
    </row>
    <row r="8" spans="1:119" s="190" customFormat="1" ht="20.25" customHeight="1">
      <c r="A8" s="181" t="s">
        <v>27</v>
      </c>
      <c r="B8" s="186">
        <f>O8+AB8+AO8+BB8+BO8+CB8+CO8+DB8+DO8</f>
        <v>257.471375</v>
      </c>
      <c r="C8" s="187">
        <f aca="true" t="shared" si="16" ref="C8:N12">C21+C36+C51</f>
        <v>0</v>
      </c>
      <c r="D8" s="187">
        <f t="shared" si="16"/>
        <v>0</v>
      </c>
      <c r="E8" s="187">
        <f t="shared" si="16"/>
        <v>0</v>
      </c>
      <c r="F8" s="187">
        <f t="shared" si="16"/>
        <v>0</v>
      </c>
      <c r="G8" s="187">
        <f t="shared" si="16"/>
        <v>0</v>
      </c>
      <c r="H8" s="187">
        <f t="shared" si="16"/>
        <v>0</v>
      </c>
      <c r="I8" s="187">
        <f t="shared" si="16"/>
        <v>0</v>
      </c>
      <c r="J8" s="187">
        <f t="shared" si="16"/>
        <v>0</v>
      </c>
      <c r="K8" s="187">
        <f t="shared" si="16"/>
        <v>0</v>
      </c>
      <c r="L8" s="187">
        <f t="shared" si="16"/>
        <v>0</v>
      </c>
      <c r="M8" s="187">
        <f t="shared" si="16"/>
        <v>0</v>
      </c>
      <c r="N8" s="187">
        <f t="shared" si="16"/>
        <v>0</v>
      </c>
      <c r="O8" s="188">
        <f>SUM(C8:N8)</f>
        <v>0</v>
      </c>
      <c r="P8" s="187">
        <f aca="true" t="shared" si="17" ref="P8:AA8">P21+P36+P51</f>
        <v>0</v>
      </c>
      <c r="Q8" s="187">
        <f t="shared" si="17"/>
        <v>46.85625</v>
      </c>
      <c r="R8" s="187">
        <f t="shared" si="17"/>
        <v>86.34937500000001</v>
      </c>
      <c r="S8" s="187">
        <f t="shared" si="17"/>
        <v>124.26575000000001</v>
      </c>
      <c r="T8" s="187">
        <f t="shared" si="17"/>
        <v>0</v>
      </c>
      <c r="U8" s="187">
        <f t="shared" si="17"/>
        <v>0</v>
      </c>
      <c r="V8" s="187">
        <f t="shared" si="17"/>
        <v>0</v>
      </c>
      <c r="W8" s="187">
        <f t="shared" si="17"/>
        <v>0</v>
      </c>
      <c r="X8" s="187">
        <f t="shared" si="17"/>
        <v>0</v>
      </c>
      <c r="Y8" s="187">
        <f t="shared" si="17"/>
        <v>0</v>
      </c>
      <c r="Z8" s="187">
        <f t="shared" si="17"/>
        <v>0</v>
      </c>
      <c r="AA8" s="187">
        <f t="shared" si="17"/>
        <v>0</v>
      </c>
      <c r="AB8" s="188">
        <f>SUM(P8:AA8)</f>
        <v>257.471375</v>
      </c>
      <c r="AC8" s="187">
        <f aca="true" t="shared" si="18" ref="AC8:AN8">AC21+AC36+AC51</f>
        <v>0</v>
      </c>
      <c r="AD8" s="187">
        <f t="shared" si="18"/>
        <v>0</v>
      </c>
      <c r="AE8" s="187">
        <f t="shared" si="18"/>
        <v>0</v>
      </c>
      <c r="AF8" s="187">
        <f t="shared" si="18"/>
        <v>0</v>
      </c>
      <c r="AG8" s="187">
        <f t="shared" si="18"/>
        <v>0</v>
      </c>
      <c r="AH8" s="187">
        <f t="shared" si="18"/>
        <v>0</v>
      </c>
      <c r="AI8" s="187">
        <f t="shared" si="18"/>
        <v>0</v>
      </c>
      <c r="AJ8" s="187">
        <f t="shared" si="18"/>
        <v>0</v>
      </c>
      <c r="AK8" s="187">
        <f t="shared" si="18"/>
        <v>0</v>
      </c>
      <c r="AL8" s="187">
        <f t="shared" si="18"/>
        <v>0</v>
      </c>
      <c r="AM8" s="187">
        <f t="shared" si="18"/>
        <v>0</v>
      </c>
      <c r="AN8" s="187">
        <f t="shared" si="18"/>
        <v>0</v>
      </c>
      <c r="AO8" s="188">
        <f>SUM(AC8:AN8)</f>
        <v>0</v>
      </c>
      <c r="AP8" s="187">
        <f aca="true" t="shared" si="19" ref="AP8:BA8">AP21+AP36+AP51</f>
        <v>0</v>
      </c>
      <c r="AQ8" s="187">
        <f t="shared" si="19"/>
        <v>0</v>
      </c>
      <c r="AR8" s="187">
        <f t="shared" si="19"/>
        <v>0</v>
      </c>
      <c r="AS8" s="187">
        <f t="shared" si="19"/>
        <v>0</v>
      </c>
      <c r="AT8" s="187">
        <f t="shared" si="19"/>
        <v>0</v>
      </c>
      <c r="AU8" s="187">
        <f t="shared" si="19"/>
        <v>0</v>
      </c>
      <c r="AV8" s="187">
        <f t="shared" si="19"/>
        <v>0</v>
      </c>
      <c r="AW8" s="187">
        <f t="shared" si="19"/>
        <v>0</v>
      </c>
      <c r="AX8" s="187">
        <f t="shared" si="19"/>
        <v>0</v>
      </c>
      <c r="AY8" s="187">
        <f t="shared" si="19"/>
        <v>0</v>
      </c>
      <c r="AZ8" s="187">
        <f t="shared" si="19"/>
        <v>0</v>
      </c>
      <c r="BA8" s="187">
        <f t="shared" si="19"/>
        <v>0</v>
      </c>
      <c r="BB8" s="188">
        <f>SUM(AP8:BA8)</f>
        <v>0</v>
      </c>
      <c r="BC8" s="187">
        <f aca="true" t="shared" si="20" ref="BC8:BN8">BC21+BC36+BC51</f>
        <v>0</v>
      </c>
      <c r="BD8" s="187">
        <f t="shared" si="20"/>
        <v>0</v>
      </c>
      <c r="BE8" s="187">
        <f t="shared" si="20"/>
        <v>0</v>
      </c>
      <c r="BF8" s="187">
        <f t="shared" si="20"/>
        <v>0</v>
      </c>
      <c r="BG8" s="187">
        <f t="shared" si="20"/>
        <v>0</v>
      </c>
      <c r="BH8" s="187">
        <f t="shared" si="20"/>
        <v>0</v>
      </c>
      <c r="BI8" s="187">
        <f t="shared" si="20"/>
        <v>0</v>
      </c>
      <c r="BJ8" s="187">
        <f t="shared" si="20"/>
        <v>0</v>
      </c>
      <c r="BK8" s="187">
        <f t="shared" si="20"/>
        <v>0</v>
      </c>
      <c r="BL8" s="187">
        <f t="shared" si="20"/>
        <v>0</v>
      </c>
      <c r="BM8" s="187">
        <f t="shared" si="20"/>
        <v>0</v>
      </c>
      <c r="BN8" s="187">
        <f t="shared" si="20"/>
        <v>0</v>
      </c>
      <c r="BO8" s="188">
        <f>SUM(BC8:BN8)</f>
        <v>0</v>
      </c>
      <c r="BP8" s="187">
        <f aca="true" t="shared" si="21" ref="BP8:CA8">BP21+BP36+BP51</f>
        <v>0</v>
      </c>
      <c r="BQ8" s="187">
        <f t="shared" si="21"/>
        <v>0</v>
      </c>
      <c r="BR8" s="187">
        <f t="shared" si="21"/>
        <v>0</v>
      </c>
      <c r="BS8" s="187">
        <f t="shared" si="21"/>
        <v>0</v>
      </c>
      <c r="BT8" s="187">
        <f t="shared" si="21"/>
        <v>0</v>
      </c>
      <c r="BU8" s="187">
        <f t="shared" si="21"/>
        <v>0</v>
      </c>
      <c r="BV8" s="187">
        <f t="shared" si="21"/>
        <v>0</v>
      </c>
      <c r="BW8" s="187">
        <f t="shared" si="21"/>
        <v>0</v>
      </c>
      <c r="BX8" s="187">
        <f t="shared" si="21"/>
        <v>0</v>
      </c>
      <c r="BY8" s="187">
        <f t="shared" si="21"/>
        <v>0</v>
      </c>
      <c r="BZ8" s="187">
        <f t="shared" si="21"/>
        <v>0</v>
      </c>
      <c r="CA8" s="187">
        <f t="shared" si="21"/>
        <v>0</v>
      </c>
      <c r="CB8" s="188">
        <f>SUM(BP8:CA8)</f>
        <v>0</v>
      </c>
      <c r="CC8" s="187">
        <f aca="true" t="shared" si="22" ref="CC8:CN8">CC21+CC36+CC51</f>
        <v>0</v>
      </c>
      <c r="CD8" s="187">
        <f t="shared" si="22"/>
        <v>0</v>
      </c>
      <c r="CE8" s="187">
        <f t="shared" si="22"/>
        <v>0</v>
      </c>
      <c r="CF8" s="187">
        <f t="shared" si="22"/>
        <v>0</v>
      </c>
      <c r="CG8" s="187">
        <f t="shared" si="22"/>
        <v>0</v>
      </c>
      <c r="CH8" s="187">
        <f t="shared" si="22"/>
        <v>0</v>
      </c>
      <c r="CI8" s="187">
        <f t="shared" si="22"/>
        <v>0</v>
      </c>
      <c r="CJ8" s="187">
        <f t="shared" si="22"/>
        <v>0</v>
      </c>
      <c r="CK8" s="187">
        <f t="shared" si="22"/>
        <v>0</v>
      </c>
      <c r="CL8" s="187">
        <f t="shared" si="22"/>
        <v>0</v>
      </c>
      <c r="CM8" s="187">
        <f t="shared" si="22"/>
        <v>0</v>
      </c>
      <c r="CN8" s="187">
        <f t="shared" si="22"/>
        <v>0</v>
      </c>
      <c r="CO8" s="188">
        <f>SUM(CC8:CN8)</f>
        <v>0</v>
      </c>
      <c r="CP8" s="187">
        <f aca="true" t="shared" si="23" ref="CP8:DA8">CP21+CP36+CP51</f>
        <v>0</v>
      </c>
      <c r="CQ8" s="187">
        <f t="shared" si="23"/>
        <v>0</v>
      </c>
      <c r="CR8" s="187">
        <f t="shared" si="23"/>
        <v>0</v>
      </c>
      <c r="CS8" s="187">
        <f t="shared" si="23"/>
        <v>0</v>
      </c>
      <c r="CT8" s="187">
        <f t="shared" si="23"/>
        <v>0</v>
      </c>
      <c r="CU8" s="187">
        <f t="shared" si="23"/>
        <v>0</v>
      </c>
      <c r="CV8" s="187">
        <f t="shared" si="23"/>
        <v>0</v>
      </c>
      <c r="CW8" s="187">
        <f t="shared" si="23"/>
        <v>0</v>
      </c>
      <c r="CX8" s="187">
        <f t="shared" si="23"/>
        <v>0</v>
      </c>
      <c r="CY8" s="187">
        <f t="shared" si="23"/>
        <v>0</v>
      </c>
      <c r="CZ8" s="187">
        <f t="shared" si="23"/>
        <v>0</v>
      </c>
      <c r="DA8" s="187">
        <f t="shared" si="23"/>
        <v>0</v>
      </c>
      <c r="DB8" s="188">
        <f>SUM(CP8:DA8)</f>
        <v>0</v>
      </c>
      <c r="DC8" s="187">
        <f aca="true" t="shared" si="24" ref="DC8:DN8">DC21+DC36+DC51</f>
        <v>0</v>
      </c>
      <c r="DD8" s="187">
        <f t="shared" si="24"/>
        <v>0</v>
      </c>
      <c r="DE8" s="187">
        <f t="shared" si="24"/>
        <v>0</v>
      </c>
      <c r="DF8" s="187">
        <f t="shared" si="24"/>
        <v>0</v>
      </c>
      <c r="DG8" s="187">
        <f t="shared" si="24"/>
        <v>0</v>
      </c>
      <c r="DH8" s="187">
        <f t="shared" si="24"/>
        <v>0</v>
      </c>
      <c r="DI8" s="187">
        <f t="shared" si="24"/>
        <v>0</v>
      </c>
      <c r="DJ8" s="187">
        <f t="shared" si="24"/>
        <v>0</v>
      </c>
      <c r="DK8" s="187">
        <f t="shared" si="24"/>
        <v>0</v>
      </c>
      <c r="DL8" s="187">
        <f t="shared" si="24"/>
        <v>0</v>
      </c>
      <c r="DM8" s="187">
        <f t="shared" si="24"/>
        <v>0</v>
      </c>
      <c r="DN8" s="187">
        <f t="shared" si="24"/>
        <v>0</v>
      </c>
      <c r="DO8" s="188">
        <f>SUM(DC8:DN8)</f>
        <v>0</v>
      </c>
    </row>
    <row r="9" spans="1:119" s="190" customFormat="1" ht="12.75">
      <c r="A9" s="191" t="s">
        <v>10</v>
      </c>
      <c r="B9" s="186">
        <f>O9+AB9+AO9+BB9+BO9+CB9+CO9+DB9+DO9</f>
        <v>2256.3096576266444</v>
      </c>
      <c r="C9" s="187">
        <f t="shared" si="16"/>
        <v>0</v>
      </c>
      <c r="D9" s="187">
        <f t="shared" si="16"/>
        <v>0</v>
      </c>
      <c r="E9" s="187">
        <f t="shared" si="16"/>
        <v>0</v>
      </c>
      <c r="F9" s="187">
        <f t="shared" si="16"/>
        <v>0</v>
      </c>
      <c r="G9" s="187">
        <f t="shared" si="16"/>
        <v>0</v>
      </c>
      <c r="H9" s="187">
        <f t="shared" si="16"/>
        <v>0</v>
      </c>
      <c r="I9" s="187">
        <f t="shared" si="16"/>
        <v>0</v>
      </c>
      <c r="J9" s="187">
        <f t="shared" si="16"/>
        <v>0</v>
      </c>
      <c r="K9" s="187">
        <f t="shared" si="16"/>
        <v>7.809375</v>
      </c>
      <c r="L9" s="187">
        <f t="shared" si="16"/>
        <v>22.200937500000002</v>
      </c>
      <c r="M9" s="187">
        <f t="shared" si="16"/>
        <v>42.91189583333333</v>
      </c>
      <c r="N9" s="187">
        <f t="shared" si="16"/>
        <v>42.91189583333333</v>
      </c>
      <c r="O9" s="188">
        <f>SUM(C9:N9)</f>
        <v>115.83410416666666</v>
      </c>
      <c r="P9" s="187">
        <f aca="true" t="shared" si="25" ref="P9:AA9">P22+P37+P52</f>
        <v>42.91189583333333</v>
      </c>
      <c r="Q9" s="187">
        <f t="shared" si="25"/>
        <v>42.91189583333333</v>
      </c>
      <c r="R9" s="187">
        <f t="shared" si="25"/>
        <v>43.18522395833334</v>
      </c>
      <c r="S9" s="187">
        <f t="shared" si="25"/>
        <v>43.688928645833336</v>
      </c>
      <c r="T9" s="187">
        <f t="shared" si="25"/>
        <v>44.4138121875</v>
      </c>
      <c r="U9" s="187">
        <f t="shared" si="25"/>
        <v>44.4138121875</v>
      </c>
      <c r="V9" s="187">
        <f t="shared" si="25"/>
        <v>44.4138121875</v>
      </c>
      <c r="W9" s="187">
        <f t="shared" si="25"/>
        <v>44.4138121875</v>
      </c>
      <c r="X9" s="187">
        <f t="shared" si="25"/>
        <v>44.4138121875</v>
      </c>
      <c r="Y9" s="187">
        <f t="shared" si="25"/>
        <v>44.32315923117336</v>
      </c>
      <c r="Z9" s="187">
        <f t="shared" si="25"/>
        <v>44.06491701784717</v>
      </c>
      <c r="AA9" s="187">
        <f t="shared" si="25"/>
        <v>43.56475099568842</v>
      </c>
      <c r="AB9" s="188">
        <f>SUM(P9:AA9)</f>
        <v>526.7198324530423</v>
      </c>
      <c r="AC9" s="187">
        <f aca="true" t="shared" si="26" ref="AC9:AN9">AC22+AC37+AC52</f>
        <v>43.06166733840041</v>
      </c>
      <c r="AD9" s="187">
        <f t="shared" si="26"/>
        <v>42.55564902644488</v>
      </c>
      <c r="AE9" s="187">
        <f t="shared" si="26"/>
        <v>42.04667894100295</v>
      </c>
      <c r="AF9" s="187">
        <f t="shared" si="26"/>
        <v>41.53473986339594</v>
      </c>
      <c r="AG9" s="187">
        <f t="shared" si="26"/>
        <v>41.019814474502894</v>
      </c>
      <c r="AH9" s="187">
        <f t="shared" si="26"/>
        <v>40.501885354174625</v>
      </c>
      <c r="AI9" s="187">
        <f t="shared" si="26"/>
        <v>39.98093498064445</v>
      </c>
      <c r="AJ9" s="187">
        <f t="shared" si="26"/>
        <v>39.45694572993535</v>
      </c>
      <c r="AK9" s="187">
        <f t="shared" si="26"/>
        <v>38.92989987526378</v>
      </c>
      <c r="AL9" s="187">
        <f t="shared" si="26"/>
        <v>38.399779586439955</v>
      </c>
      <c r="AM9" s="187">
        <f t="shared" si="26"/>
        <v>37.86656692926466</v>
      </c>
      <c r="AN9" s="187">
        <f t="shared" si="26"/>
        <v>37.33024386492251</v>
      </c>
      <c r="AO9" s="188">
        <f>SUM(AC9:AN9)</f>
        <v>482.68480596439235</v>
      </c>
      <c r="AP9" s="187">
        <f aca="true" t="shared" si="27" ref="AP9:BA9">AP22+AP37+AP52</f>
        <v>36.79079224937169</v>
      </c>
      <c r="AQ9" s="187">
        <f t="shared" si="27"/>
        <v>36.248193832730166</v>
      </c>
      <c r="AR9" s="187">
        <f t="shared" si="27"/>
        <v>35.702430258658225</v>
      </c>
      <c r="AS9" s="187">
        <f t="shared" si="27"/>
        <v>35.15348306373754</v>
      </c>
      <c r="AT9" s="187">
        <f t="shared" si="27"/>
        <v>34.60133367684648</v>
      </c>
      <c r="AU9" s="187">
        <f t="shared" si="27"/>
        <v>34.04596341853188</v>
      </c>
      <c r="AV9" s="187">
        <f t="shared" si="27"/>
        <v>33.48735350037713</v>
      </c>
      <c r="AW9" s="187">
        <f t="shared" si="27"/>
        <v>32.925485024366466</v>
      </c>
      <c r="AX9" s="187">
        <f t="shared" si="27"/>
        <v>32.36033898224574</v>
      </c>
      <c r="AY9" s="187">
        <f t="shared" si="27"/>
        <v>31.79189625487932</v>
      </c>
      <c r="AZ9" s="187">
        <f t="shared" si="27"/>
        <v>31.220137611603253</v>
      </c>
      <c r="BA9" s="187">
        <f t="shared" si="27"/>
        <v>30.645043709574743</v>
      </c>
      <c r="BB9" s="188">
        <f>SUM(AP9:BA9)</f>
        <v>404.97245158292264</v>
      </c>
      <c r="BC9" s="187">
        <f aca="true" t="shared" si="28" ref="BC9:BN9">BC22+BC37+BC52</f>
        <v>30.066595093117733</v>
      </c>
      <c r="BD9" s="187">
        <f t="shared" si="28"/>
        <v>29.48477219306472</v>
      </c>
      <c r="BE9" s="187">
        <f t="shared" si="28"/>
        <v>28.89955532609474</v>
      </c>
      <c r="BF9" s="187">
        <f t="shared" si="28"/>
        <v>28.31092469406743</v>
      </c>
      <c r="BG9" s="187">
        <f t="shared" si="28"/>
        <v>27.7188603833533</v>
      </c>
      <c r="BH9" s="187">
        <f t="shared" si="28"/>
        <v>27.123342364159996</v>
      </c>
      <c r="BI9" s="187">
        <f t="shared" si="28"/>
        <v>26.524350489854733</v>
      </c>
      <c r="BJ9" s="187">
        <f t="shared" si="28"/>
        <v>25.921864496282694</v>
      </c>
      <c r="BK9" s="187">
        <f t="shared" si="28"/>
        <v>25.31586400108148</v>
      </c>
      <c r="BL9" s="187">
        <f t="shared" si="28"/>
        <v>24.706328502991596</v>
      </c>
      <c r="BM9" s="187">
        <f t="shared" si="28"/>
        <v>24.093237381162854</v>
      </c>
      <c r="BN9" s="187">
        <f t="shared" si="28"/>
        <v>23.476569894456773</v>
      </c>
      <c r="BO9" s="188">
        <f>SUM(BC9:BN9)</f>
        <v>321.642264819688</v>
      </c>
      <c r="BP9" s="187">
        <f aca="true" t="shared" si="29" ref="BP9:CA9">BP22+BP37+BP52</f>
        <v>22.85630518074491</v>
      </c>
      <c r="BQ9" s="187">
        <f t="shared" si="29"/>
        <v>22.23242225620306</v>
      </c>
      <c r="BR9" s="187">
        <f t="shared" si="29"/>
        <v>21.604900014601384</v>
      </c>
      <c r="BS9" s="187">
        <f t="shared" si="29"/>
        <v>20.97371722659036</v>
      </c>
      <c r="BT9" s="187">
        <f t="shared" si="29"/>
        <v>20.338852538982607</v>
      </c>
      <c r="BU9" s="187">
        <f t="shared" si="29"/>
        <v>19.70028447403048</v>
      </c>
      <c r="BV9" s="187">
        <f t="shared" si="29"/>
        <v>19.05799142869946</v>
      </c>
      <c r="BW9" s="187">
        <f t="shared" si="29"/>
        <v>18.411951673937345</v>
      </c>
      <c r="BX9" s="187">
        <f t="shared" si="29"/>
        <v>17.762143353939116</v>
      </c>
      <c r="BY9" s="187">
        <f t="shared" si="29"/>
        <v>17.108544485407567</v>
      </c>
      <c r="BZ9" s="187">
        <f t="shared" si="29"/>
        <v>16.45113295680958</v>
      </c>
      <c r="CA9" s="187">
        <f t="shared" si="29"/>
        <v>15.78988652762811</v>
      </c>
      <c r="CB9" s="188">
        <f>SUM(BP9:CA9)</f>
        <v>232.288132117574</v>
      </c>
      <c r="CC9" s="187">
        <f aca="true" t="shared" si="30" ref="CC9:CN9">CC22+CC37+CC52</f>
        <v>15.124782827609746</v>
      </c>
      <c r="CD9" s="187">
        <f t="shared" si="30"/>
        <v>14.45579935600794</v>
      </c>
      <c r="CE9" s="187">
        <f t="shared" si="30"/>
        <v>13.78291348082179</v>
      </c>
      <c r="CF9" s="187">
        <f t="shared" si="30"/>
        <v>13.106102438030389</v>
      </c>
      <c r="CG9" s="187">
        <f t="shared" si="30"/>
        <v>12.425343330822706</v>
      </c>
      <c r="CH9" s="187">
        <f t="shared" si="30"/>
        <v>11.740613128822975</v>
      </c>
      <c r="CI9" s="187">
        <f t="shared" si="30"/>
        <v>11.05188866731158</v>
      </c>
      <c r="CJ9" s="187">
        <f t="shared" si="30"/>
        <v>10.359146646441369</v>
      </c>
      <c r="CK9" s="187">
        <f t="shared" si="30"/>
        <v>9.662363630449413</v>
      </c>
      <c r="CL9" s="187">
        <f t="shared" si="30"/>
        <v>8.961516046864174</v>
      </c>
      <c r="CM9" s="187">
        <f t="shared" si="30"/>
        <v>8.25658018570802</v>
      </c>
      <c r="CN9" s="187">
        <f t="shared" si="30"/>
        <v>7.547532198695121</v>
      </c>
      <c r="CO9" s="188">
        <f>SUM(CC9:CN9)</f>
        <v>136.4745819375852</v>
      </c>
      <c r="CP9" s="187">
        <f aca="true" t="shared" si="31" ref="CP9:DA9">CP22+CP37+CP52</f>
        <v>6.834348098424647</v>
      </c>
      <c r="CQ9" s="187">
        <f t="shared" si="31"/>
        <v>6.117003757569263</v>
      </c>
      <c r="CR9" s="187">
        <f t="shared" si="31"/>
        <v>5.395474908058888</v>
      </c>
      <c r="CS9" s="187">
        <f t="shared" si="31"/>
        <v>4.669737140259703</v>
      </c>
      <c r="CT9" s="187">
        <f t="shared" si="31"/>
        <v>3.939765902148356</v>
      </c>
      <c r="CU9" s="187">
        <f t="shared" si="31"/>
        <v>3.2055364984813592</v>
      </c>
      <c r="CV9" s="187">
        <f t="shared" si="31"/>
        <v>2.4670240899596383</v>
      </c>
      <c r="CW9" s="187">
        <f t="shared" si="31"/>
        <v>1.7242036923882078</v>
      </c>
      <c r="CX9" s="187">
        <f t="shared" si="31"/>
        <v>0.9770501758309438</v>
      </c>
      <c r="CY9" s="187">
        <f t="shared" si="31"/>
        <v>0.3633403216495624</v>
      </c>
      <c r="CZ9" s="187">
        <f t="shared" si="31"/>
        <v>1.9294195870619055E-13</v>
      </c>
      <c r="DA9" s="187">
        <f t="shared" si="31"/>
        <v>1.9294195870619055E-13</v>
      </c>
      <c r="DB9" s="188">
        <f>SUM(CP9:DA9)</f>
        <v>35.69348458477095</v>
      </c>
      <c r="DC9" s="187">
        <f aca="true" t="shared" si="32" ref="DC9:DN9">DC22+DC37+DC52</f>
        <v>1.9294195870619055E-13</v>
      </c>
      <c r="DD9" s="187">
        <f t="shared" si="32"/>
        <v>1.9294195870619055E-13</v>
      </c>
      <c r="DE9" s="187">
        <f t="shared" si="32"/>
        <v>1.9294195870619055E-13</v>
      </c>
      <c r="DF9" s="187">
        <f t="shared" si="32"/>
        <v>1.9294195870619055E-13</v>
      </c>
      <c r="DG9" s="187">
        <f t="shared" si="32"/>
        <v>1.9294195870619055E-13</v>
      </c>
      <c r="DH9" s="187">
        <f t="shared" si="32"/>
        <v>1.9294195870619055E-13</v>
      </c>
      <c r="DI9" s="187">
        <f t="shared" si="32"/>
        <v>1.9294195870619055E-13</v>
      </c>
      <c r="DJ9" s="187">
        <f t="shared" si="32"/>
        <v>1.9294195870619055E-13</v>
      </c>
      <c r="DK9" s="187">
        <f t="shared" si="32"/>
        <v>1.9294195870619055E-13</v>
      </c>
      <c r="DL9" s="187">
        <f t="shared" si="32"/>
        <v>1.9294195870619055E-13</v>
      </c>
      <c r="DM9" s="187">
        <f t="shared" si="32"/>
        <v>1.9294195870619055E-13</v>
      </c>
      <c r="DN9" s="187">
        <f t="shared" si="32"/>
        <v>1.9294195870619055E-13</v>
      </c>
      <c r="DO9" s="188">
        <f>SUM(DC9:DN9)</f>
        <v>2.3153035044742866E-12</v>
      </c>
    </row>
    <row r="10" spans="1:120" ht="12.75">
      <c r="A10" s="181" t="s">
        <v>11</v>
      </c>
      <c r="B10" s="186">
        <f>O10+AB10+AO10+BB10+BO10+CB10+CO10+DB10+DO10</f>
        <v>7613.796374999968</v>
      </c>
      <c r="C10" s="187">
        <f t="shared" si="16"/>
        <v>0</v>
      </c>
      <c r="D10" s="187">
        <f t="shared" si="16"/>
        <v>0</v>
      </c>
      <c r="E10" s="187">
        <f t="shared" si="16"/>
        <v>0</v>
      </c>
      <c r="F10" s="187">
        <f t="shared" si="16"/>
        <v>0</v>
      </c>
      <c r="G10" s="187">
        <f t="shared" si="16"/>
        <v>0</v>
      </c>
      <c r="H10" s="187">
        <f t="shared" si="16"/>
        <v>0</v>
      </c>
      <c r="I10" s="187">
        <f t="shared" si="16"/>
        <v>0</v>
      </c>
      <c r="J10" s="187">
        <f t="shared" si="16"/>
        <v>0</v>
      </c>
      <c r="K10" s="187">
        <f t="shared" si="16"/>
        <v>0</v>
      </c>
      <c r="L10" s="187">
        <f t="shared" si="16"/>
        <v>0</v>
      </c>
      <c r="M10" s="187">
        <f t="shared" si="16"/>
        <v>0</v>
      </c>
      <c r="N10" s="187">
        <f t="shared" si="16"/>
        <v>0</v>
      </c>
      <c r="O10" s="188">
        <f>SUM(C10:N10)</f>
        <v>0</v>
      </c>
      <c r="P10" s="187">
        <f aca="true" t="shared" si="33" ref="P10:AA10">P23+P38+P53</f>
        <v>0</v>
      </c>
      <c r="Q10" s="187">
        <f t="shared" si="33"/>
        <v>0</v>
      </c>
      <c r="R10" s="187">
        <f t="shared" si="33"/>
        <v>0</v>
      </c>
      <c r="S10" s="187">
        <f t="shared" si="33"/>
        <v>0</v>
      </c>
      <c r="T10" s="187">
        <f t="shared" si="33"/>
        <v>0</v>
      </c>
      <c r="U10" s="187">
        <f t="shared" si="33"/>
        <v>0</v>
      </c>
      <c r="V10" s="187">
        <f t="shared" si="33"/>
        <v>0</v>
      </c>
      <c r="W10" s="187">
        <f t="shared" si="33"/>
        <v>0</v>
      </c>
      <c r="X10" s="187">
        <f t="shared" si="33"/>
        <v>15.54050679885149</v>
      </c>
      <c r="Y10" s="187">
        <f t="shared" si="33"/>
        <v>44.270093713061584</v>
      </c>
      <c r="Z10" s="187">
        <f t="shared" si="33"/>
        <v>85.7427466557863</v>
      </c>
      <c r="AA10" s="187">
        <f t="shared" si="33"/>
        <v>86.24291267794504</v>
      </c>
      <c r="AB10" s="188">
        <f>SUM(P10:AA10)</f>
        <v>231.7962598456444</v>
      </c>
      <c r="AC10" s="187">
        <f aca="true" t="shared" si="34" ref="AC10:AN10">AC23+AC38+AC53</f>
        <v>86.74599633523306</v>
      </c>
      <c r="AD10" s="187">
        <f t="shared" si="34"/>
        <v>87.25201464718859</v>
      </c>
      <c r="AE10" s="187">
        <f t="shared" si="34"/>
        <v>87.76098473263052</v>
      </c>
      <c r="AF10" s="187">
        <f t="shared" si="34"/>
        <v>88.27292381023754</v>
      </c>
      <c r="AG10" s="187">
        <f t="shared" si="34"/>
        <v>88.78784919913059</v>
      </c>
      <c r="AH10" s="187">
        <f t="shared" si="34"/>
        <v>89.30577831945884</v>
      </c>
      <c r="AI10" s="187">
        <f t="shared" si="34"/>
        <v>89.82672869298902</v>
      </c>
      <c r="AJ10" s="187">
        <f t="shared" si="34"/>
        <v>90.35071794369813</v>
      </c>
      <c r="AK10" s="187">
        <f t="shared" si="34"/>
        <v>90.8777637983697</v>
      </c>
      <c r="AL10" s="187">
        <f t="shared" si="34"/>
        <v>91.40788408719352</v>
      </c>
      <c r="AM10" s="187">
        <f t="shared" si="34"/>
        <v>91.94109674436882</v>
      </c>
      <c r="AN10" s="187">
        <f t="shared" si="34"/>
        <v>92.47741980871096</v>
      </c>
      <c r="AO10" s="188">
        <f>SUM(AC10:AN10)</f>
        <v>1075.0071581192092</v>
      </c>
      <c r="AP10" s="187">
        <f aca="true" t="shared" si="35" ref="AP10:BA10">AP23+AP38+AP53</f>
        <v>93.01687142426178</v>
      </c>
      <c r="AQ10" s="187">
        <f t="shared" si="35"/>
        <v>93.55946984090332</v>
      </c>
      <c r="AR10" s="187">
        <f t="shared" si="35"/>
        <v>94.10523341497525</v>
      </c>
      <c r="AS10" s="187">
        <f t="shared" si="35"/>
        <v>94.65418060989593</v>
      </c>
      <c r="AT10" s="187">
        <f t="shared" si="35"/>
        <v>95.20632999678699</v>
      </c>
      <c r="AU10" s="187">
        <f t="shared" si="35"/>
        <v>95.76170025510157</v>
      </c>
      <c r="AV10" s="187">
        <f t="shared" si="35"/>
        <v>96.32031017325633</v>
      </c>
      <c r="AW10" s="187">
        <f t="shared" si="35"/>
        <v>96.88217864926699</v>
      </c>
      <c r="AX10" s="187">
        <f t="shared" si="35"/>
        <v>97.44732469138773</v>
      </c>
      <c r="AY10" s="187">
        <f t="shared" si="35"/>
        <v>98.01576741875415</v>
      </c>
      <c r="AZ10" s="187">
        <f t="shared" si="35"/>
        <v>98.58752606203021</v>
      </c>
      <c r="BA10" s="187">
        <f t="shared" si="35"/>
        <v>99.16261996405873</v>
      </c>
      <c r="BB10" s="188">
        <f>SUM(AP10:BA10)</f>
        <v>1152.719512500679</v>
      </c>
      <c r="BC10" s="187">
        <f aca="true" t="shared" si="36" ref="BC10:BN10">BC23+BC38+BC53</f>
        <v>99.74106858051573</v>
      </c>
      <c r="BD10" s="187">
        <f t="shared" si="36"/>
        <v>100.32289148056876</v>
      </c>
      <c r="BE10" s="187">
        <f t="shared" si="36"/>
        <v>100.90810834753873</v>
      </c>
      <c r="BF10" s="187">
        <f t="shared" si="36"/>
        <v>101.49673897956603</v>
      </c>
      <c r="BG10" s="187">
        <f t="shared" si="36"/>
        <v>102.08880329028017</v>
      </c>
      <c r="BH10" s="187">
        <f t="shared" si="36"/>
        <v>102.68432130947346</v>
      </c>
      <c r="BI10" s="187">
        <f t="shared" si="36"/>
        <v>103.28331318377873</v>
      </c>
      <c r="BJ10" s="187">
        <f t="shared" si="36"/>
        <v>103.88579917735078</v>
      </c>
      <c r="BK10" s="187">
        <f t="shared" si="36"/>
        <v>104.49179967255199</v>
      </c>
      <c r="BL10" s="187">
        <f t="shared" si="36"/>
        <v>105.10133517064187</v>
      </c>
      <c r="BM10" s="187">
        <f t="shared" si="36"/>
        <v>105.71442629247062</v>
      </c>
      <c r="BN10" s="187">
        <f t="shared" si="36"/>
        <v>106.33109377917671</v>
      </c>
      <c r="BO10" s="188">
        <f>SUM(BC10:BN10)</f>
        <v>1236.0496992639135</v>
      </c>
      <c r="BP10" s="187">
        <f aca="true" t="shared" si="37" ref="BP10:CA10">BP23+BP38+BP53</f>
        <v>106.95135849288856</v>
      </c>
      <c r="BQ10" s="187">
        <f t="shared" si="37"/>
        <v>107.57524141743042</v>
      </c>
      <c r="BR10" s="187">
        <f t="shared" si="37"/>
        <v>108.20276365903209</v>
      </c>
      <c r="BS10" s="187">
        <f t="shared" si="37"/>
        <v>108.8339464470431</v>
      </c>
      <c r="BT10" s="187">
        <f t="shared" si="37"/>
        <v>109.46881113465085</v>
      </c>
      <c r="BU10" s="187">
        <f t="shared" si="37"/>
        <v>110.10737919960299</v>
      </c>
      <c r="BV10" s="187">
        <f t="shared" si="37"/>
        <v>110.749672244934</v>
      </c>
      <c r="BW10" s="187">
        <f t="shared" si="37"/>
        <v>111.39571199969612</v>
      </c>
      <c r="BX10" s="187">
        <f t="shared" si="37"/>
        <v>112.04552031969436</v>
      </c>
      <c r="BY10" s="187">
        <f t="shared" si="37"/>
        <v>112.6991191882259</v>
      </c>
      <c r="BZ10" s="187">
        <f t="shared" si="37"/>
        <v>113.3565307168239</v>
      </c>
      <c r="CA10" s="187">
        <f t="shared" si="37"/>
        <v>114.01777714600536</v>
      </c>
      <c r="CB10" s="188">
        <f>SUM(BP10:CA10)</f>
        <v>1325.4038319660276</v>
      </c>
      <c r="CC10" s="187">
        <f aca="true" t="shared" si="38" ref="CC10:CN10">CC23+CC38+CC53</f>
        <v>114.68288084602372</v>
      </c>
      <c r="CD10" s="187">
        <f t="shared" si="38"/>
        <v>115.35186431762554</v>
      </c>
      <c r="CE10" s="187">
        <f t="shared" si="38"/>
        <v>116.02475019281168</v>
      </c>
      <c r="CF10" s="187">
        <f t="shared" si="38"/>
        <v>116.70156123560308</v>
      </c>
      <c r="CG10" s="187">
        <f t="shared" si="38"/>
        <v>117.38232034281077</v>
      </c>
      <c r="CH10" s="187">
        <f t="shared" si="38"/>
        <v>118.0670505448105</v>
      </c>
      <c r="CI10" s="187">
        <f t="shared" si="38"/>
        <v>118.7557750063219</v>
      </c>
      <c r="CJ10" s="187">
        <f t="shared" si="38"/>
        <v>119.44851702719211</v>
      </c>
      <c r="CK10" s="187">
        <f t="shared" si="38"/>
        <v>120.14530004318405</v>
      </c>
      <c r="CL10" s="187">
        <f t="shared" si="38"/>
        <v>120.8461476267693</v>
      </c>
      <c r="CM10" s="187">
        <f t="shared" si="38"/>
        <v>121.55108348792545</v>
      </c>
      <c r="CN10" s="187">
        <f t="shared" si="38"/>
        <v>122.26013147493835</v>
      </c>
      <c r="CO10" s="188">
        <f>SUM(CC10:CN10)</f>
        <v>1421.2173821460167</v>
      </c>
      <c r="CP10" s="187">
        <f aca="true" t="shared" si="39" ref="CP10:DA10">CP23+CP38+CP53</f>
        <v>122.97331557520883</v>
      </c>
      <c r="CQ10" s="187">
        <f t="shared" si="39"/>
        <v>123.69065991606422</v>
      </c>
      <c r="CR10" s="187">
        <f t="shared" si="39"/>
        <v>124.41218876557457</v>
      </c>
      <c r="CS10" s="187">
        <f t="shared" si="39"/>
        <v>125.13792653337377</v>
      </c>
      <c r="CT10" s="187">
        <f t="shared" si="39"/>
        <v>125.8678977714851</v>
      </c>
      <c r="CU10" s="187">
        <f t="shared" si="39"/>
        <v>126.6021271751521</v>
      </c>
      <c r="CV10" s="187">
        <f t="shared" si="39"/>
        <v>127.34063958367383</v>
      </c>
      <c r="CW10" s="187">
        <f t="shared" si="39"/>
        <v>128.08345998124526</v>
      </c>
      <c r="CX10" s="187">
        <f t="shared" si="39"/>
        <v>105.20740357395107</v>
      </c>
      <c r="CY10" s="187">
        <f t="shared" si="39"/>
        <v>62.28691228274905</v>
      </c>
      <c r="CZ10" s="187">
        <f t="shared" si="39"/>
        <v>0</v>
      </c>
      <c r="DA10" s="187">
        <f t="shared" si="39"/>
        <v>0</v>
      </c>
      <c r="DB10" s="188">
        <f>SUM(CP10:DA10)</f>
        <v>1171.6025311584779</v>
      </c>
      <c r="DC10" s="187">
        <f aca="true" t="shared" si="40" ref="DC10:DN10">DC23+DC38+DC53</f>
        <v>0</v>
      </c>
      <c r="DD10" s="187">
        <f t="shared" si="40"/>
        <v>0</v>
      </c>
      <c r="DE10" s="187">
        <f t="shared" si="40"/>
        <v>0</v>
      </c>
      <c r="DF10" s="187">
        <f t="shared" si="40"/>
        <v>0</v>
      </c>
      <c r="DG10" s="187">
        <f t="shared" si="40"/>
        <v>0</v>
      </c>
      <c r="DH10" s="187">
        <f t="shared" si="40"/>
        <v>0</v>
      </c>
      <c r="DI10" s="187">
        <f t="shared" si="40"/>
        <v>0</v>
      </c>
      <c r="DJ10" s="187">
        <f t="shared" si="40"/>
        <v>0</v>
      </c>
      <c r="DK10" s="187">
        <f t="shared" si="40"/>
        <v>0</v>
      </c>
      <c r="DL10" s="187">
        <f t="shared" si="40"/>
        <v>0</v>
      </c>
      <c r="DM10" s="187">
        <f t="shared" si="40"/>
        <v>0</v>
      </c>
      <c r="DN10" s="187">
        <f t="shared" si="40"/>
        <v>0</v>
      </c>
      <c r="DO10" s="188">
        <f>SUM(DC10:DN10)</f>
        <v>0</v>
      </c>
      <c r="DP10" s="189"/>
    </row>
    <row r="11" spans="1:120" ht="12.75">
      <c r="A11" s="181" t="s">
        <v>12</v>
      </c>
      <c r="B11" s="186">
        <f>O11+AB11+AO11+BB11+BO11+CB11+CO11+DB11+DO11</f>
        <v>1998.8382826266445</v>
      </c>
      <c r="C11" s="187">
        <f t="shared" si="16"/>
        <v>0</v>
      </c>
      <c r="D11" s="187">
        <f t="shared" si="16"/>
        <v>0</v>
      </c>
      <c r="E11" s="187">
        <f t="shared" si="16"/>
        <v>0</v>
      </c>
      <c r="F11" s="187">
        <f t="shared" si="16"/>
        <v>0</v>
      </c>
      <c r="G11" s="187">
        <f t="shared" si="16"/>
        <v>0</v>
      </c>
      <c r="H11" s="187">
        <f t="shared" si="16"/>
        <v>0</v>
      </c>
      <c r="I11" s="187">
        <f t="shared" si="16"/>
        <v>0</v>
      </c>
      <c r="J11" s="187">
        <f t="shared" si="16"/>
        <v>0</v>
      </c>
      <c r="K11" s="187">
        <f t="shared" si="16"/>
        <v>0</v>
      </c>
      <c r="L11" s="187">
        <f t="shared" si="16"/>
        <v>0</v>
      </c>
      <c r="M11" s="187">
        <f t="shared" si="16"/>
        <v>0</v>
      </c>
      <c r="N11" s="187">
        <f t="shared" si="16"/>
        <v>0</v>
      </c>
      <c r="O11" s="188">
        <f>SUM(C11:N11)</f>
        <v>0</v>
      </c>
      <c r="P11" s="187">
        <f aca="true" t="shared" si="41" ref="P11:AA11">P24+P39+P54</f>
        <v>0</v>
      </c>
      <c r="Q11" s="187">
        <f t="shared" si="41"/>
        <v>0</v>
      </c>
      <c r="R11" s="187">
        <f t="shared" si="41"/>
        <v>8.082703125</v>
      </c>
      <c r="S11" s="187">
        <f t="shared" si="41"/>
        <v>22.977970312500002</v>
      </c>
      <c r="T11" s="187">
        <f t="shared" si="41"/>
        <v>44.4138121875</v>
      </c>
      <c r="U11" s="187">
        <f t="shared" si="41"/>
        <v>44.4138121875</v>
      </c>
      <c r="V11" s="187">
        <f t="shared" si="41"/>
        <v>44.4138121875</v>
      </c>
      <c r="W11" s="187">
        <f t="shared" si="41"/>
        <v>44.4138121875</v>
      </c>
      <c r="X11" s="187">
        <f t="shared" si="41"/>
        <v>44.4138121875</v>
      </c>
      <c r="Y11" s="187">
        <f t="shared" si="41"/>
        <v>44.32315923117336</v>
      </c>
      <c r="Z11" s="187">
        <f t="shared" si="41"/>
        <v>44.06491701784717</v>
      </c>
      <c r="AA11" s="187">
        <f t="shared" si="41"/>
        <v>43.56475099568842</v>
      </c>
      <c r="AB11" s="188">
        <f>SUM(P11:AA11)</f>
        <v>385.08256161970894</v>
      </c>
      <c r="AC11" s="187">
        <f aca="true" t="shared" si="42" ref="AC11:AN11">AC24+AC39+AC54</f>
        <v>43.06166733840041</v>
      </c>
      <c r="AD11" s="187">
        <f t="shared" si="42"/>
        <v>42.55564902644488</v>
      </c>
      <c r="AE11" s="187">
        <f t="shared" si="42"/>
        <v>42.04667894100295</v>
      </c>
      <c r="AF11" s="187">
        <f t="shared" si="42"/>
        <v>41.53473986339594</v>
      </c>
      <c r="AG11" s="187">
        <f t="shared" si="42"/>
        <v>41.019814474502894</v>
      </c>
      <c r="AH11" s="187">
        <f t="shared" si="42"/>
        <v>40.501885354174625</v>
      </c>
      <c r="AI11" s="187">
        <f t="shared" si="42"/>
        <v>39.98093498064445</v>
      </c>
      <c r="AJ11" s="187">
        <f t="shared" si="42"/>
        <v>39.45694572993535</v>
      </c>
      <c r="AK11" s="187">
        <f t="shared" si="42"/>
        <v>38.92989987526378</v>
      </c>
      <c r="AL11" s="187">
        <f t="shared" si="42"/>
        <v>38.399779586439955</v>
      </c>
      <c r="AM11" s="187">
        <f t="shared" si="42"/>
        <v>37.86656692926466</v>
      </c>
      <c r="AN11" s="187">
        <f t="shared" si="42"/>
        <v>37.33024386492251</v>
      </c>
      <c r="AO11" s="188">
        <f>SUM(AC11:AN11)</f>
        <v>482.68480596439235</v>
      </c>
      <c r="AP11" s="187">
        <f aca="true" t="shared" si="43" ref="AP11:BA11">AP24+AP39+AP54</f>
        <v>36.79079224937169</v>
      </c>
      <c r="AQ11" s="187">
        <f t="shared" si="43"/>
        <v>36.248193832730166</v>
      </c>
      <c r="AR11" s="187">
        <f t="shared" si="43"/>
        <v>35.702430258658225</v>
      </c>
      <c r="AS11" s="187">
        <f t="shared" si="43"/>
        <v>35.15348306373754</v>
      </c>
      <c r="AT11" s="187">
        <f t="shared" si="43"/>
        <v>34.60133367684648</v>
      </c>
      <c r="AU11" s="187">
        <f t="shared" si="43"/>
        <v>34.04596341853188</v>
      </c>
      <c r="AV11" s="187">
        <f t="shared" si="43"/>
        <v>33.48735350037713</v>
      </c>
      <c r="AW11" s="187">
        <f t="shared" si="43"/>
        <v>32.925485024366466</v>
      </c>
      <c r="AX11" s="187">
        <f t="shared" si="43"/>
        <v>32.36033898224574</v>
      </c>
      <c r="AY11" s="187">
        <f t="shared" si="43"/>
        <v>31.79189625487932</v>
      </c>
      <c r="AZ11" s="187">
        <f t="shared" si="43"/>
        <v>31.220137611603253</v>
      </c>
      <c r="BA11" s="187">
        <f t="shared" si="43"/>
        <v>30.645043709574743</v>
      </c>
      <c r="BB11" s="188">
        <f>SUM(AP11:BA11)</f>
        <v>404.97245158292264</v>
      </c>
      <c r="BC11" s="187">
        <f aca="true" t="shared" si="44" ref="BC11:BN11">BC24+BC39+BC54</f>
        <v>30.066595093117733</v>
      </c>
      <c r="BD11" s="187">
        <f t="shared" si="44"/>
        <v>29.48477219306472</v>
      </c>
      <c r="BE11" s="187">
        <f t="shared" si="44"/>
        <v>28.89955532609474</v>
      </c>
      <c r="BF11" s="187">
        <f t="shared" si="44"/>
        <v>28.31092469406743</v>
      </c>
      <c r="BG11" s="187">
        <f t="shared" si="44"/>
        <v>27.7188603833533</v>
      </c>
      <c r="BH11" s="187">
        <f t="shared" si="44"/>
        <v>27.123342364159996</v>
      </c>
      <c r="BI11" s="187">
        <f t="shared" si="44"/>
        <v>26.524350489854733</v>
      </c>
      <c r="BJ11" s="187">
        <f t="shared" si="44"/>
        <v>25.921864496282694</v>
      </c>
      <c r="BK11" s="187">
        <f t="shared" si="44"/>
        <v>25.31586400108148</v>
      </c>
      <c r="BL11" s="187">
        <f t="shared" si="44"/>
        <v>24.706328502991596</v>
      </c>
      <c r="BM11" s="187">
        <f t="shared" si="44"/>
        <v>24.093237381162854</v>
      </c>
      <c r="BN11" s="187">
        <f t="shared" si="44"/>
        <v>23.476569894456773</v>
      </c>
      <c r="BO11" s="188">
        <f>SUM(BC11:BN11)</f>
        <v>321.642264819688</v>
      </c>
      <c r="BP11" s="187">
        <f aca="true" t="shared" si="45" ref="BP11:CA11">BP24+BP39+BP54</f>
        <v>22.85630518074491</v>
      </c>
      <c r="BQ11" s="187">
        <f t="shared" si="45"/>
        <v>22.23242225620306</v>
      </c>
      <c r="BR11" s="187">
        <f t="shared" si="45"/>
        <v>21.604900014601384</v>
      </c>
      <c r="BS11" s="187">
        <f t="shared" si="45"/>
        <v>20.97371722659036</v>
      </c>
      <c r="BT11" s="187">
        <f t="shared" si="45"/>
        <v>20.338852538982607</v>
      </c>
      <c r="BU11" s="187">
        <f t="shared" si="45"/>
        <v>19.70028447403048</v>
      </c>
      <c r="BV11" s="187">
        <f t="shared" si="45"/>
        <v>19.05799142869946</v>
      </c>
      <c r="BW11" s="187">
        <f t="shared" si="45"/>
        <v>18.411951673937345</v>
      </c>
      <c r="BX11" s="187">
        <f t="shared" si="45"/>
        <v>17.762143353939116</v>
      </c>
      <c r="BY11" s="187">
        <f t="shared" si="45"/>
        <v>17.108544485407567</v>
      </c>
      <c r="BZ11" s="187">
        <f t="shared" si="45"/>
        <v>16.45113295680958</v>
      </c>
      <c r="CA11" s="187">
        <f t="shared" si="45"/>
        <v>15.78988652762811</v>
      </c>
      <c r="CB11" s="188">
        <f>SUM(BP11:CA11)</f>
        <v>232.288132117574</v>
      </c>
      <c r="CC11" s="187">
        <f aca="true" t="shared" si="46" ref="CC11:CN11">CC24+CC39+CC54</f>
        <v>15.124782827609746</v>
      </c>
      <c r="CD11" s="187">
        <f t="shared" si="46"/>
        <v>14.45579935600794</v>
      </c>
      <c r="CE11" s="187">
        <f t="shared" si="46"/>
        <v>13.78291348082179</v>
      </c>
      <c r="CF11" s="187">
        <f t="shared" si="46"/>
        <v>13.106102438030389</v>
      </c>
      <c r="CG11" s="187">
        <f t="shared" si="46"/>
        <v>12.425343330822706</v>
      </c>
      <c r="CH11" s="187">
        <f t="shared" si="46"/>
        <v>11.740613128822975</v>
      </c>
      <c r="CI11" s="187">
        <f t="shared" si="46"/>
        <v>11.05188866731158</v>
      </c>
      <c r="CJ11" s="187">
        <f t="shared" si="46"/>
        <v>10.359146646441369</v>
      </c>
      <c r="CK11" s="187">
        <f t="shared" si="46"/>
        <v>9.662363630449413</v>
      </c>
      <c r="CL11" s="187">
        <f t="shared" si="46"/>
        <v>8.961516046864174</v>
      </c>
      <c r="CM11" s="187">
        <f t="shared" si="46"/>
        <v>8.25658018570802</v>
      </c>
      <c r="CN11" s="187">
        <f t="shared" si="46"/>
        <v>7.547532198695121</v>
      </c>
      <c r="CO11" s="188">
        <f>SUM(CC11:CN11)</f>
        <v>136.4745819375852</v>
      </c>
      <c r="CP11" s="187">
        <f aca="true" t="shared" si="47" ref="CP11:DA11">CP24+CP39+CP54</f>
        <v>6.834348098424647</v>
      </c>
      <c r="CQ11" s="187">
        <f t="shared" si="47"/>
        <v>6.117003757569263</v>
      </c>
      <c r="CR11" s="187">
        <f t="shared" si="47"/>
        <v>5.395474908058888</v>
      </c>
      <c r="CS11" s="187">
        <f t="shared" si="47"/>
        <v>4.669737140259703</v>
      </c>
      <c r="CT11" s="187">
        <f t="shared" si="47"/>
        <v>3.939765902148356</v>
      </c>
      <c r="CU11" s="187">
        <f t="shared" si="47"/>
        <v>3.2055364984813592</v>
      </c>
      <c r="CV11" s="187">
        <f t="shared" si="47"/>
        <v>2.4670240899596383</v>
      </c>
      <c r="CW11" s="187">
        <f t="shared" si="47"/>
        <v>1.7242036923882078</v>
      </c>
      <c r="CX11" s="187">
        <f t="shared" si="47"/>
        <v>0.9770501758309438</v>
      </c>
      <c r="CY11" s="187">
        <f t="shared" si="47"/>
        <v>0.3633403216495624</v>
      </c>
      <c r="CZ11" s="187">
        <f t="shared" si="47"/>
        <v>1.9294195870619055E-13</v>
      </c>
      <c r="DA11" s="187">
        <f t="shared" si="47"/>
        <v>1.9294195870619055E-13</v>
      </c>
      <c r="DB11" s="188">
        <f>SUM(CP11:DA11)</f>
        <v>35.69348458477095</v>
      </c>
      <c r="DC11" s="187">
        <f aca="true" t="shared" si="48" ref="DC11:DN11">DC24+DC39+DC54</f>
        <v>1.9294195870619055E-13</v>
      </c>
      <c r="DD11" s="187">
        <f t="shared" si="48"/>
        <v>1.9294195870619055E-13</v>
      </c>
      <c r="DE11" s="187">
        <f t="shared" si="48"/>
        <v>1.9294195870619055E-13</v>
      </c>
      <c r="DF11" s="187">
        <f t="shared" si="48"/>
        <v>1.9294195870619055E-13</v>
      </c>
      <c r="DG11" s="187">
        <f t="shared" si="48"/>
        <v>1.9294195870619055E-13</v>
      </c>
      <c r="DH11" s="187">
        <f t="shared" si="48"/>
        <v>1.9294195870619055E-13</v>
      </c>
      <c r="DI11" s="187">
        <f t="shared" si="48"/>
        <v>1.9294195870619055E-13</v>
      </c>
      <c r="DJ11" s="187">
        <f t="shared" si="48"/>
        <v>1.9294195870619055E-13</v>
      </c>
      <c r="DK11" s="187">
        <f t="shared" si="48"/>
        <v>1.9294195870619055E-13</v>
      </c>
      <c r="DL11" s="187">
        <f t="shared" si="48"/>
        <v>1.9294195870619055E-13</v>
      </c>
      <c r="DM11" s="187">
        <f t="shared" si="48"/>
        <v>1.9294195870619055E-13</v>
      </c>
      <c r="DN11" s="187">
        <f t="shared" si="48"/>
        <v>1.9294195870619055E-13</v>
      </c>
      <c r="DO11" s="188">
        <f>SUM(DC11:DN11)</f>
        <v>2.3153035044742866E-12</v>
      </c>
      <c r="DP11" s="189" t="s">
        <v>50</v>
      </c>
    </row>
    <row r="12" spans="1:120" ht="12.75">
      <c r="A12" s="181" t="s">
        <v>13</v>
      </c>
      <c r="B12" s="186">
        <f>DO12</f>
        <v>3.3075764349632664E-11</v>
      </c>
      <c r="C12" s="187">
        <f t="shared" si="16"/>
        <v>0</v>
      </c>
      <c r="D12" s="187">
        <f t="shared" si="16"/>
        <v>0</v>
      </c>
      <c r="E12" s="187">
        <f t="shared" si="16"/>
        <v>0</v>
      </c>
      <c r="F12" s="187">
        <f t="shared" si="16"/>
        <v>0</v>
      </c>
      <c r="G12" s="187">
        <f t="shared" si="16"/>
        <v>0</v>
      </c>
      <c r="H12" s="187">
        <f t="shared" si="16"/>
        <v>0</v>
      </c>
      <c r="I12" s="187">
        <f t="shared" si="16"/>
        <v>0</v>
      </c>
      <c r="J12" s="187">
        <f t="shared" si="16"/>
        <v>1338.75</v>
      </c>
      <c r="K12" s="187">
        <f t="shared" si="16"/>
        <v>3805.875</v>
      </c>
      <c r="L12" s="187">
        <f t="shared" si="16"/>
        <v>7356.325</v>
      </c>
      <c r="M12" s="187">
        <f t="shared" si="16"/>
        <v>7356.325</v>
      </c>
      <c r="N12" s="187">
        <f t="shared" si="16"/>
        <v>7356.325</v>
      </c>
      <c r="O12" s="188">
        <f>N12</f>
        <v>7356.325</v>
      </c>
      <c r="P12" s="187">
        <f aca="true" t="shared" si="49" ref="P12:AA12">P25+P40+P55</f>
        <v>7356.325</v>
      </c>
      <c r="Q12" s="187">
        <f t="shared" si="49"/>
        <v>7403.18125</v>
      </c>
      <c r="R12" s="187">
        <f t="shared" si="49"/>
        <v>7489.530624999999</v>
      </c>
      <c r="S12" s="187">
        <f t="shared" si="49"/>
        <v>7613.796375</v>
      </c>
      <c r="T12" s="187">
        <f t="shared" si="49"/>
        <v>7613.796375</v>
      </c>
      <c r="U12" s="187">
        <f t="shared" si="49"/>
        <v>7613.796375</v>
      </c>
      <c r="V12" s="187">
        <f t="shared" si="49"/>
        <v>7613.796375</v>
      </c>
      <c r="W12" s="187">
        <f t="shared" si="49"/>
        <v>7613.796375</v>
      </c>
      <c r="X12" s="187">
        <f t="shared" si="49"/>
        <v>7598.255868201148</v>
      </c>
      <c r="Y12" s="187">
        <f t="shared" si="49"/>
        <v>7553.9857744880865</v>
      </c>
      <c r="Z12" s="187">
        <f t="shared" si="49"/>
        <v>7468.243027832301</v>
      </c>
      <c r="AA12" s="187">
        <f t="shared" si="49"/>
        <v>7382.000115154355</v>
      </c>
      <c r="AB12" s="188">
        <f>AA12</f>
        <v>7382.000115154355</v>
      </c>
      <c r="AC12" s="187">
        <f aca="true" t="shared" si="50" ref="AC12:AN12">AC25+AC40+AC55</f>
        <v>7295.254118819123</v>
      </c>
      <c r="AD12" s="187">
        <f t="shared" si="50"/>
        <v>7208.002104171934</v>
      </c>
      <c r="AE12" s="187">
        <f t="shared" si="50"/>
        <v>7120.2411194393035</v>
      </c>
      <c r="AF12" s="187">
        <f t="shared" si="50"/>
        <v>7031.968195629066</v>
      </c>
      <c r="AG12" s="187">
        <f t="shared" si="50"/>
        <v>6943.1803464299355</v>
      </c>
      <c r="AH12" s="187">
        <f t="shared" si="50"/>
        <v>6853.874568110477</v>
      </c>
      <c r="AI12" s="187">
        <f t="shared" si="50"/>
        <v>6764.047839417488</v>
      </c>
      <c r="AJ12" s="187">
        <f t="shared" si="50"/>
        <v>6673.69712147379</v>
      </c>
      <c r="AK12" s="187">
        <f t="shared" si="50"/>
        <v>6582.81935767542</v>
      </c>
      <c r="AL12" s="187">
        <f t="shared" si="50"/>
        <v>6491.411473588227</v>
      </c>
      <c r="AM12" s="187">
        <f t="shared" si="50"/>
        <v>6399.470376843858</v>
      </c>
      <c r="AN12" s="187">
        <f t="shared" si="50"/>
        <v>6306.992957035147</v>
      </c>
      <c r="AO12" s="188">
        <f>AN12</f>
        <v>6306.992957035147</v>
      </c>
      <c r="AP12" s="187">
        <f aca="true" t="shared" si="51" ref="AP12:BA12">AP25+AP40+AP55</f>
        <v>6213.976085610884</v>
      </c>
      <c r="AQ12" s="187">
        <f t="shared" si="51"/>
        <v>6120.416615769982</v>
      </c>
      <c r="AR12" s="187">
        <f t="shared" si="51"/>
        <v>6026.311382355007</v>
      </c>
      <c r="AS12" s="187">
        <f t="shared" si="51"/>
        <v>5931.657201745111</v>
      </c>
      <c r="AT12" s="187">
        <f t="shared" si="51"/>
        <v>5836.450871748323</v>
      </c>
      <c r="AU12" s="187">
        <f t="shared" si="51"/>
        <v>5740.689171493223</v>
      </c>
      <c r="AV12" s="187">
        <f t="shared" si="51"/>
        <v>5644.368861319966</v>
      </c>
      <c r="AW12" s="187">
        <f t="shared" si="51"/>
        <v>5547.486682670698</v>
      </c>
      <c r="AX12" s="187">
        <f t="shared" si="51"/>
        <v>5450.039357979311</v>
      </c>
      <c r="AY12" s="187">
        <f t="shared" si="51"/>
        <v>5352.023590560557</v>
      </c>
      <c r="AZ12" s="187">
        <f t="shared" si="51"/>
        <v>5253.436064498526</v>
      </c>
      <c r="BA12" s="187">
        <f t="shared" si="51"/>
        <v>5154.273444534469</v>
      </c>
      <c r="BB12" s="188">
        <f>BA12</f>
        <v>5154.273444534469</v>
      </c>
      <c r="BC12" s="187">
        <f aca="true" t="shared" si="52" ref="BC12:BN12">BC25+BC40+BC55</f>
        <v>5054.532375953952</v>
      </c>
      <c r="BD12" s="187">
        <f t="shared" si="52"/>
        <v>4954.209484473384</v>
      </c>
      <c r="BE12" s="187">
        <f t="shared" si="52"/>
        <v>4853.301376125844</v>
      </c>
      <c r="BF12" s="187">
        <f t="shared" si="52"/>
        <v>4751.804637146279</v>
      </c>
      <c r="BG12" s="187">
        <f t="shared" si="52"/>
        <v>4649.715833855999</v>
      </c>
      <c r="BH12" s="187">
        <f t="shared" si="52"/>
        <v>4547.031512546526</v>
      </c>
      <c r="BI12" s="187">
        <f t="shared" si="52"/>
        <v>4443.748199362747</v>
      </c>
      <c r="BJ12" s="187">
        <f t="shared" si="52"/>
        <v>4339.862400185397</v>
      </c>
      <c r="BK12" s="187">
        <f t="shared" si="52"/>
        <v>4235.370600512844</v>
      </c>
      <c r="BL12" s="187">
        <f t="shared" si="52"/>
        <v>4130.269265342203</v>
      </c>
      <c r="BM12" s="187">
        <f t="shared" si="52"/>
        <v>4024.5548390497324</v>
      </c>
      <c r="BN12" s="187">
        <f t="shared" si="52"/>
        <v>3918.2237452705554</v>
      </c>
      <c r="BO12" s="188">
        <f>BN12</f>
        <v>3918.2237452705554</v>
      </c>
      <c r="BP12" s="187">
        <f aca="true" t="shared" si="53" ref="BP12:CA12">BP25+BP40+BP55</f>
        <v>3811.2723867776667</v>
      </c>
      <c r="BQ12" s="187">
        <f t="shared" si="53"/>
        <v>3703.6971453602364</v>
      </c>
      <c r="BR12" s="187">
        <f t="shared" si="53"/>
        <v>3595.4943817012045</v>
      </c>
      <c r="BS12" s="187">
        <f t="shared" si="53"/>
        <v>3486.6604352541613</v>
      </c>
      <c r="BT12" s="187">
        <f t="shared" si="53"/>
        <v>3377.1916241195104</v>
      </c>
      <c r="BU12" s="187">
        <f t="shared" si="53"/>
        <v>3267.084244919907</v>
      </c>
      <c r="BV12" s="187">
        <f t="shared" si="53"/>
        <v>3156.334572674973</v>
      </c>
      <c r="BW12" s="187">
        <f t="shared" si="53"/>
        <v>3044.9388606752773</v>
      </c>
      <c r="BX12" s="187">
        <f t="shared" si="53"/>
        <v>2932.893340355583</v>
      </c>
      <c r="BY12" s="187">
        <f t="shared" si="53"/>
        <v>2820.194221167357</v>
      </c>
      <c r="BZ12" s="187">
        <f t="shared" si="53"/>
        <v>2706.837690450533</v>
      </c>
      <c r="CA12" s="187">
        <f t="shared" si="53"/>
        <v>2592.8199133045273</v>
      </c>
      <c r="CB12" s="188">
        <f>CA12</f>
        <v>2592.8199133045273</v>
      </c>
      <c r="CC12" s="187">
        <f aca="true" t="shared" si="54" ref="CC12:CN12">CC25+CC40+CC55</f>
        <v>2478.137032458504</v>
      </c>
      <c r="CD12" s="187">
        <f t="shared" si="54"/>
        <v>2362.7851681408783</v>
      </c>
      <c r="CE12" s="187">
        <f t="shared" si="54"/>
        <v>2246.760417948067</v>
      </c>
      <c r="CF12" s="187">
        <f t="shared" si="54"/>
        <v>2130.0588567124632</v>
      </c>
      <c r="CG12" s="187">
        <f t="shared" si="54"/>
        <v>2012.6765363696527</v>
      </c>
      <c r="CH12" s="187">
        <f t="shared" si="54"/>
        <v>1894.609485824842</v>
      </c>
      <c r="CI12" s="187">
        <f t="shared" si="54"/>
        <v>1775.8537108185203</v>
      </c>
      <c r="CJ12" s="187">
        <f t="shared" si="54"/>
        <v>1656.4051937913282</v>
      </c>
      <c r="CK12" s="187">
        <f t="shared" si="54"/>
        <v>1536.259893748144</v>
      </c>
      <c r="CL12" s="187">
        <f t="shared" si="54"/>
        <v>1415.4137461213747</v>
      </c>
      <c r="CM12" s="187">
        <f t="shared" si="54"/>
        <v>1293.8626626334492</v>
      </c>
      <c r="CN12" s="187">
        <f t="shared" si="54"/>
        <v>1171.6025311585108</v>
      </c>
      <c r="CO12" s="188">
        <f>CN12</f>
        <v>1171.6025311585108</v>
      </c>
      <c r="CP12" s="187">
        <f aca="true" t="shared" si="55" ref="CP12:DA12">CP25+CP40+CP55</f>
        <v>1048.629215583302</v>
      </c>
      <c r="CQ12" s="187">
        <f t="shared" si="55"/>
        <v>924.9385556672378</v>
      </c>
      <c r="CR12" s="187">
        <f t="shared" si="55"/>
        <v>800.5263669016633</v>
      </c>
      <c r="CS12" s="187">
        <f t="shared" si="55"/>
        <v>675.3884403682896</v>
      </c>
      <c r="CT12" s="187">
        <f t="shared" si="55"/>
        <v>549.5205425968044</v>
      </c>
      <c r="CU12" s="187">
        <f t="shared" si="55"/>
        <v>422.9184154216523</v>
      </c>
      <c r="CV12" s="187">
        <f t="shared" si="55"/>
        <v>295.5777758379785</v>
      </c>
      <c r="CW12" s="187">
        <f t="shared" si="55"/>
        <v>167.49431585673318</v>
      </c>
      <c r="CX12" s="187">
        <f t="shared" si="55"/>
        <v>62.286912282782126</v>
      </c>
      <c r="CY12" s="187">
        <f t="shared" si="55"/>
        <v>3.3075764349632664E-11</v>
      </c>
      <c r="CZ12" s="187">
        <f t="shared" si="55"/>
        <v>3.3075764349632664E-11</v>
      </c>
      <c r="DA12" s="187">
        <f t="shared" si="55"/>
        <v>3.3075764349632664E-11</v>
      </c>
      <c r="DB12" s="188">
        <f>DA12</f>
        <v>3.3075764349632664E-11</v>
      </c>
      <c r="DC12" s="187">
        <f aca="true" t="shared" si="56" ref="DC12:DN12">DC25+DC40+DC55</f>
        <v>3.3075764349632664E-11</v>
      </c>
      <c r="DD12" s="187">
        <f t="shared" si="56"/>
        <v>3.3075764349632664E-11</v>
      </c>
      <c r="DE12" s="187">
        <f t="shared" si="56"/>
        <v>3.3075764349632664E-11</v>
      </c>
      <c r="DF12" s="187">
        <f t="shared" si="56"/>
        <v>3.3075764349632664E-11</v>
      </c>
      <c r="DG12" s="187">
        <f t="shared" si="56"/>
        <v>3.3075764349632664E-11</v>
      </c>
      <c r="DH12" s="187">
        <f t="shared" si="56"/>
        <v>3.3075764349632664E-11</v>
      </c>
      <c r="DI12" s="187">
        <f t="shared" si="56"/>
        <v>3.3075764349632664E-11</v>
      </c>
      <c r="DJ12" s="187">
        <f t="shared" si="56"/>
        <v>3.3075764349632664E-11</v>
      </c>
      <c r="DK12" s="187">
        <f t="shared" si="56"/>
        <v>3.3075764349632664E-11</v>
      </c>
      <c r="DL12" s="187">
        <f t="shared" si="56"/>
        <v>3.3075764349632664E-11</v>
      </c>
      <c r="DM12" s="187">
        <f t="shared" si="56"/>
        <v>3.3075764349632664E-11</v>
      </c>
      <c r="DN12" s="187">
        <f t="shared" si="56"/>
        <v>3.3075764349632664E-11</v>
      </c>
      <c r="DO12" s="188">
        <f>DN12</f>
        <v>3.3075764349632664E-11</v>
      </c>
      <c r="DP12" s="193">
        <f>MAX(C12:BO12)</f>
        <v>7613.796375</v>
      </c>
    </row>
    <row r="13" spans="1:120" ht="12.75">
      <c r="A13" s="173" t="s">
        <v>70</v>
      </c>
      <c r="B13" s="173">
        <f>Исх!$C$47*12-Исх!$C$49</f>
        <v>72</v>
      </c>
      <c r="DP13" s="176"/>
    </row>
    <row r="14" ht="12.75">
      <c r="A14" s="194">
        <f>B9-B8-B11</f>
        <v>0</v>
      </c>
    </row>
    <row r="15" ht="12.75">
      <c r="A15" s="194">
        <f>B9-B8-B11</f>
        <v>0</v>
      </c>
    </row>
    <row r="17" spans="1:119" ht="12.75">
      <c r="A17" s="284" t="s">
        <v>213</v>
      </c>
      <c r="B17" s="282"/>
      <c r="DB17" s="173"/>
      <c r="DO17" s="173"/>
    </row>
    <row r="18" spans="1:119" ht="15.75" customHeight="1">
      <c r="A18" s="180" t="s">
        <v>9</v>
      </c>
      <c r="B18" s="283">
        <f>Исх!$C$46</f>
        <v>0.07</v>
      </c>
      <c r="C18" s="350">
        <v>2013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>
        <v>2014</v>
      </c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>
        <v>2015</v>
      </c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>
        <v>2016</v>
      </c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>
        <v>2017</v>
      </c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>
        <v>2018</v>
      </c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>
        <v>2019</v>
      </c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>
        <v>2020</v>
      </c>
      <c r="CQ18" s="350"/>
      <c r="CR18" s="350"/>
      <c r="CS18" s="350"/>
      <c r="CT18" s="350"/>
      <c r="CU18" s="350"/>
      <c r="CV18" s="350"/>
      <c r="CW18" s="350"/>
      <c r="CX18" s="350"/>
      <c r="CY18" s="350"/>
      <c r="CZ18" s="350"/>
      <c r="DA18" s="350"/>
      <c r="DB18" s="350"/>
      <c r="DC18" s="350">
        <v>2021</v>
      </c>
      <c r="DD18" s="350"/>
      <c r="DE18" s="350"/>
      <c r="DF18" s="350"/>
      <c r="DG18" s="350"/>
      <c r="DH18" s="350"/>
      <c r="DI18" s="350"/>
      <c r="DJ18" s="350"/>
      <c r="DK18" s="350"/>
      <c r="DL18" s="350"/>
      <c r="DM18" s="350"/>
      <c r="DN18" s="350"/>
      <c r="DO18" s="350"/>
    </row>
    <row r="19" spans="1:119" s="185" customFormat="1" ht="15" customHeight="1">
      <c r="A19" s="181" t="s">
        <v>7</v>
      </c>
      <c r="B19" s="182" t="s">
        <v>80</v>
      </c>
      <c r="C19" s="183">
        <v>1</v>
      </c>
      <c r="D19" s="183">
        <v>2</v>
      </c>
      <c r="E19" s="183">
        <f aca="true" t="shared" si="57" ref="E19:N19">D19+1</f>
        <v>3</v>
      </c>
      <c r="F19" s="183">
        <f t="shared" si="57"/>
        <v>4</v>
      </c>
      <c r="G19" s="183">
        <f t="shared" si="57"/>
        <v>5</v>
      </c>
      <c r="H19" s="183">
        <f t="shared" si="57"/>
        <v>6</v>
      </c>
      <c r="I19" s="183">
        <f t="shared" si="57"/>
        <v>7</v>
      </c>
      <c r="J19" s="183">
        <f t="shared" si="57"/>
        <v>8</v>
      </c>
      <c r="K19" s="183">
        <f t="shared" si="57"/>
        <v>9</v>
      </c>
      <c r="L19" s="183">
        <f t="shared" si="57"/>
        <v>10</v>
      </c>
      <c r="M19" s="183">
        <f t="shared" si="57"/>
        <v>11</v>
      </c>
      <c r="N19" s="183">
        <f t="shared" si="57"/>
        <v>12</v>
      </c>
      <c r="O19" s="184">
        <f>O3</f>
        <v>0</v>
      </c>
      <c r="P19" s="183">
        <v>1</v>
      </c>
      <c r="Q19" s="183">
        <v>2</v>
      </c>
      <c r="R19" s="183">
        <f aca="true" t="shared" si="58" ref="R19:AA19">Q19+1</f>
        <v>3</v>
      </c>
      <c r="S19" s="183">
        <f t="shared" si="58"/>
        <v>4</v>
      </c>
      <c r="T19" s="183">
        <f t="shared" si="58"/>
        <v>5</v>
      </c>
      <c r="U19" s="183">
        <f t="shared" si="58"/>
        <v>6</v>
      </c>
      <c r="V19" s="183">
        <f t="shared" si="58"/>
        <v>7</v>
      </c>
      <c r="W19" s="183">
        <f t="shared" si="58"/>
        <v>8</v>
      </c>
      <c r="X19" s="183">
        <f t="shared" si="58"/>
        <v>9</v>
      </c>
      <c r="Y19" s="183">
        <f t="shared" si="58"/>
        <v>10</v>
      </c>
      <c r="Z19" s="183">
        <f t="shared" si="58"/>
        <v>11</v>
      </c>
      <c r="AA19" s="183">
        <f t="shared" si="58"/>
        <v>12</v>
      </c>
      <c r="AB19" s="184">
        <f>AB3</f>
        <v>0</v>
      </c>
      <c r="AC19" s="183">
        <v>1</v>
      </c>
      <c r="AD19" s="183">
        <v>2</v>
      </c>
      <c r="AE19" s="183">
        <f aca="true" t="shared" si="59" ref="AE19:AN19">AD19+1</f>
        <v>3</v>
      </c>
      <c r="AF19" s="183">
        <f t="shared" si="59"/>
        <v>4</v>
      </c>
      <c r="AG19" s="183">
        <f t="shared" si="59"/>
        <v>5</v>
      </c>
      <c r="AH19" s="183">
        <f t="shared" si="59"/>
        <v>6</v>
      </c>
      <c r="AI19" s="183">
        <f t="shared" si="59"/>
        <v>7</v>
      </c>
      <c r="AJ19" s="183">
        <f t="shared" si="59"/>
        <v>8</v>
      </c>
      <c r="AK19" s="183">
        <f t="shared" si="59"/>
        <v>9</v>
      </c>
      <c r="AL19" s="183">
        <f t="shared" si="59"/>
        <v>10</v>
      </c>
      <c r="AM19" s="183">
        <f t="shared" si="59"/>
        <v>11</v>
      </c>
      <c r="AN19" s="183">
        <f t="shared" si="59"/>
        <v>12</v>
      </c>
      <c r="AO19" s="184">
        <f>AO3</f>
        <v>0</v>
      </c>
      <c r="AP19" s="183">
        <v>1</v>
      </c>
      <c r="AQ19" s="183">
        <v>2</v>
      </c>
      <c r="AR19" s="183">
        <f aca="true" t="shared" si="60" ref="AR19:BA19">AQ19+1</f>
        <v>3</v>
      </c>
      <c r="AS19" s="183">
        <f t="shared" si="60"/>
        <v>4</v>
      </c>
      <c r="AT19" s="183">
        <f t="shared" si="60"/>
        <v>5</v>
      </c>
      <c r="AU19" s="183">
        <f t="shared" si="60"/>
        <v>6</v>
      </c>
      <c r="AV19" s="183">
        <f t="shared" si="60"/>
        <v>7</v>
      </c>
      <c r="AW19" s="183">
        <f t="shared" si="60"/>
        <v>8</v>
      </c>
      <c r="AX19" s="183">
        <f t="shared" si="60"/>
        <v>9</v>
      </c>
      <c r="AY19" s="183">
        <f t="shared" si="60"/>
        <v>10</v>
      </c>
      <c r="AZ19" s="183">
        <f t="shared" si="60"/>
        <v>11</v>
      </c>
      <c r="BA19" s="183">
        <f t="shared" si="60"/>
        <v>12</v>
      </c>
      <c r="BB19" s="184">
        <f>BB3</f>
        <v>0</v>
      </c>
      <c r="BC19" s="183">
        <v>1</v>
      </c>
      <c r="BD19" s="183">
        <v>2</v>
      </c>
      <c r="BE19" s="183">
        <f aca="true" t="shared" si="61" ref="BE19:BN19">BD19+1</f>
        <v>3</v>
      </c>
      <c r="BF19" s="183">
        <f t="shared" si="61"/>
        <v>4</v>
      </c>
      <c r="BG19" s="183">
        <f t="shared" si="61"/>
        <v>5</v>
      </c>
      <c r="BH19" s="183">
        <f t="shared" si="61"/>
        <v>6</v>
      </c>
      <c r="BI19" s="183">
        <f t="shared" si="61"/>
        <v>7</v>
      </c>
      <c r="BJ19" s="183">
        <f t="shared" si="61"/>
        <v>8</v>
      </c>
      <c r="BK19" s="183">
        <f t="shared" si="61"/>
        <v>9</v>
      </c>
      <c r="BL19" s="183">
        <f t="shared" si="61"/>
        <v>10</v>
      </c>
      <c r="BM19" s="183">
        <f t="shared" si="61"/>
        <v>11</v>
      </c>
      <c r="BN19" s="183">
        <f t="shared" si="61"/>
        <v>12</v>
      </c>
      <c r="BO19" s="184">
        <f>BO3</f>
        <v>0</v>
      </c>
      <c r="BP19" s="183">
        <v>1</v>
      </c>
      <c r="BQ19" s="183">
        <v>2</v>
      </c>
      <c r="BR19" s="183">
        <f aca="true" t="shared" si="62" ref="BR19:CA19">BQ19+1</f>
        <v>3</v>
      </c>
      <c r="BS19" s="183">
        <f t="shared" si="62"/>
        <v>4</v>
      </c>
      <c r="BT19" s="183">
        <f t="shared" si="62"/>
        <v>5</v>
      </c>
      <c r="BU19" s="183">
        <f t="shared" si="62"/>
        <v>6</v>
      </c>
      <c r="BV19" s="183">
        <f t="shared" si="62"/>
        <v>7</v>
      </c>
      <c r="BW19" s="183">
        <f t="shared" si="62"/>
        <v>8</v>
      </c>
      <c r="BX19" s="183">
        <f t="shared" si="62"/>
        <v>9</v>
      </c>
      <c r="BY19" s="183">
        <f t="shared" si="62"/>
        <v>10</v>
      </c>
      <c r="BZ19" s="183">
        <f t="shared" si="62"/>
        <v>11</v>
      </c>
      <c r="CA19" s="183">
        <f t="shared" si="62"/>
        <v>12</v>
      </c>
      <c r="CB19" s="184">
        <f>CB3</f>
        <v>0</v>
      </c>
      <c r="CC19" s="183">
        <v>1</v>
      </c>
      <c r="CD19" s="183">
        <v>2</v>
      </c>
      <c r="CE19" s="183">
        <f aca="true" t="shared" si="63" ref="CE19:CN19">CD19+1</f>
        <v>3</v>
      </c>
      <c r="CF19" s="183">
        <f t="shared" si="63"/>
        <v>4</v>
      </c>
      <c r="CG19" s="183">
        <f t="shared" si="63"/>
        <v>5</v>
      </c>
      <c r="CH19" s="183">
        <f t="shared" si="63"/>
        <v>6</v>
      </c>
      <c r="CI19" s="183">
        <f t="shared" si="63"/>
        <v>7</v>
      </c>
      <c r="CJ19" s="183">
        <f t="shared" si="63"/>
        <v>8</v>
      </c>
      <c r="CK19" s="183">
        <f t="shared" si="63"/>
        <v>9</v>
      </c>
      <c r="CL19" s="183">
        <f t="shared" si="63"/>
        <v>10</v>
      </c>
      <c r="CM19" s="183">
        <f t="shared" si="63"/>
        <v>11</v>
      </c>
      <c r="CN19" s="183">
        <f t="shared" si="63"/>
        <v>12</v>
      </c>
      <c r="CO19" s="184">
        <f>CO3</f>
        <v>0</v>
      </c>
      <c r="CP19" s="183">
        <v>1</v>
      </c>
      <c r="CQ19" s="183">
        <f aca="true" t="shared" si="64" ref="CQ19:DA19">CP19+1</f>
        <v>2</v>
      </c>
      <c r="CR19" s="183">
        <f t="shared" si="64"/>
        <v>3</v>
      </c>
      <c r="CS19" s="183">
        <f t="shared" si="64"/>
        <v>4</v>
      </c>
      <c r="CT19" s="183">
        <f t="shared" si="64"/>
        <v>5</v>
      </c>
      <c r="CU19" s="183">
        <f t="shared" si="64"/>
        <v>6</v>
      </c>
      <c r="CV19" s="183">
        <f t="shared" si="64"/>
        <v>7</v>
      </c>
      <c r="CW19" s="183">
        <f t="shared" si="64"/>
        <v>8</v>
      </c>
      <c r="CX19" s="183">
        <f t="shared" si="64"/>
        <v>9</v>
      </c>
      <c r="CY19" s="183">
        <f t="shared" si="64"/>
        <v>10</v>
      </c>
      <c r="CZ19" s="183">
        <f t="shared" si="64"/>
        <v>11</v>
      </c>
      <c r="DA19" s="183">
        <f t="shared" si="64"/>
        <v>12</v>
      </c>
      <c r="DB19" s="184">
        <f>DB3</f>
        <v>0</v>
      </c>
      <c r="DC19" s="183">
        <v>1</v>
      </c>
      <c r="DD19" s="183">
        <f aca="true" t="shared" si="65" ref="DD19:DN19">DC19+1</f>
        <v>2</v>
      </c>
      <c r="DE19" s="183">
        <f t="shared" si="65"/>
        <v>3</v>
      </c>
      <c r="DF19" s="183">
        <f t="shared" si="65"/>
        <v>4</v>
      </c>
      <c r="DG19" s="183">
        <f t="shared" si="65"/>
        <v>5</v>
      </c>
      <c r="DH19" s="183">
        <f t="shared" si="65"/>
        <v>6</v>
      </c>
      <c r="DI19" s="183">
        <f t="shared" si="65"/>
        <v>7</v>
      </c>
      <c r="DJ19" s="183">
        <f t="shared" si="65"/>
        <v>8</v>
      </c>
      <c r="DK19" s="183">
        <f t="shared" si="65"/>
        <v>9</v>
      </c>
      <c r="DL19" s="183">
        <f t="shared" si="65"/>
        <v>10</v>
      </c>
      <c r="DM19" s="183">
        <f t="shared" si="65"/>
        <v>11</v>
      </c>
      <c r="DN19" s="183">
        <f t="shared" si="65"/>
        <v>12</v>
      </c>
      <c r="DO19" s="184" t="s">
        <v>0</v>
      </c>
    </row>
    <row r="20" spans="1:119" ht="12.75">
      <c r="A20" s="181" t="s">
        <v>98</v>
      </c>
      <c r="B20" s="186">
        <f>O20+AB20+AO20+BB20+BO20+CB20+CO20+DB20+DO20</f>
        <v>1338.75</v>
      </c>
      <c r="C20" s="187"/>
      <c r="D20" s="187"/>
      <c r="E20" s="187"/>
      <c r="F20" s="187"/>
      <c r="G20" s="187"/>
      <c r="H20" s="187"/>
      <c r="I20" s="187"/>
      <c r="J20" s="187">
        <f>'1-Ф3'!K$33</f>
        <v>1338.75</v>
      </c>
      <c r="K20" s="187"/>
      <c r="L20" s="187"/>
      <c r="M20" s="187"/>
      <c r="N20" s="187"/>
      <c r="O20" s="188">
        <f>SUM(C20:N20)</f>
        <v>1338.75</v>
      </c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>
        <f>SUM(P20:AA20)</f>
        <v>0</v>
      </c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>
        <f>SUM(AC20:AN20)</f>
        <v>0</v>
      </c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</row>
    <row r="21" spans="1:119" s="190" customFormat="1" ht="20.25" customHeight="1">
      <c r="A21" s="181" t="s">
        <v>27</v>
      </c>
      <c r="B21" s="186">
        <f>O21+AB21+AO21+BB21+BO21+CB21+CO21+DB21+DO21</f>
        <v>46.85625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8">
        <f>SUM(C21:N21)</f>
        <v>0</v>
      </c>
      <c r="P21" s="187"/>
      <c r="Q21" s="187">
        <f>SUM(O22:Q22)</f>
        <v>46.85625</v>
      </c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8">
        <f>SUM(P21:AA21)</f>
        <v>46.85625</v>
      </c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8">
        <f>SUM(AC21:AN21)</f>
        <v>0</v>
      </c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8">
        <f>SUM(AP21:BA21)</f>
        <v>0</v>
      </c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8">
        <f>SUM(BC21:BN21)</f>
        <v>0</v>
      </c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8">
        <f>SUM(BP21:CA21)</f>
        <v>0</v>
      </c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8">
        <f>SUM(CC21:CN21)</f>
        <v>0</v>
      </c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8">
        <f>SUM(CP21:DA21)</f>
        <v>0</v>
      </c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8">
        <f>SUM(DC21:DN21)</f>
        <v>0</v>
      </c>
    </row>
    <row r="22" spans="1:119" s="190" customFormat="1" ht="12.75">
      <c r="A22" s="191" t="s">
        <v>10</v>
      </c>
      <c r="B22" s="186">
        <f>O22+AB22+AO22+BB22+BO22+CB22+CO22+DB22+DO22</f>
        <v>410.61733326731337</v>
      </c>
      <c r="C22" s="187"/>
      <c r="D22" s="187">
        <f aca="true" t="shared" si="66" ref="D22:N22">C25*$B18/12</f>
        <v>0</v>
      </c>
      <c r="E22" s="187">
        <f t="shared" si="66"/>
        <v>0</v>
      </c>
      <c r="F22" s="187">
        <f t="shared" si="66"/>
        <v>0</v>
      </c>
      <c r="G22" s="187">
        <f t="shared" si="66"/>
        <v>0</v>
      </c>
      <c r="H22" s="187">
        <f t="shared" si="66"/>
        <v>0</v>
      </c>
      <c r="I22" s="187">
        <f t="shared" si="66"/>
        <v>0</v>
      </c>
      <c r="J22" s="187">
        <f t="shared" si="66"/>
        <v>0</v>
      </c>
      <c r="K22" s="187">
        <f t="shared" si="66"/>
        <v>7.809375</v>
      </c>
      <c r="L22" s="187">
        <f t="shared" si="66"/>
        <v>7.809375</v>
      </c>
      <c r="M22" s="187">
        <f t="shared" si="66"/>
        <v>7.809375</v>
      </c>
      <c r="N22" s="187">
        <f t="shared" si="66"/>
        <v>7.809375</v>
      </c>
      <c r="O22" s="188">
        <f>SUM(C22:N22)</f>
        <v>31.2375</v>
      </c>
      <c r="P22" s="187">
        <f aca="true" t="shared" si="67" ref="P22:AA22">O25*$B18/12</f>
        <v>7.809375</v>
      </c>
      <c r="Q22" s="187">
        <f t="shared" si="67"/>
        <v>7.809375</v>
      </c>
      <c r="R22" s="187">
        <f t="shared" si="67"/>
        <v>8.082703125</v>
      </c>
      <c r="S22" s="187">
        <f t="shared" si="67"/>
        <v>8.082703125</v>
      </c>
      <c r="T22" s="187">
        <f t="shared" si="67"/>
        <v>8.082703125</v>
      </c>
      <c r="U22" s="187">
        <f t="shared" si="67"/>
        <v>8.082703125</v>
      </c>
      <c r="V22" s="187">
        <f t="shared" si="67"/>
        <v>8.082703125</v>
      </c>
      <c r="W22" s="187">
        <f t="shared" si="67"/>
        <v>8.082703125</v>
      </c>
      <c r="X22" s="187">
        <f t="shared" si="67"/>
        <v>8.082703125</v>
      </c>
      <c r="Y22" s="187">
        <f t="shared" si="67"/>
        <v>7.992050168673367</v>
      </c>
      <c r="Z22" s="187">
        <f t="shared" si="67"/>
        <v>7.900868403434829</v>
      </c>
      <c r="AA22" s="187">
        <f t="shared" si="67"/>
        <v>7.809154744565731</v>
      </c>
      <c r="AB22" s="188">
        <f>SUM(P22:AA22)</f>
        <v>95.89974519167393</v>
      </c>
      <c r="AC22" s="187">
        <f aca="true" t="shared" si="68" ref="AC22:AN22">AB25*$B18/12</f>
        <v>7.71690608935323</v>
      </c>
      <c r="AD22" s="187">
        <f t="shared" si="68"/>
        <v>7.6241193169853245</v>
      </c>
      <c r="AE22" s="187">
        <f t="shared" si="68"/>
        <v>7.530791288445272</v>
      </c>
      <c r="AF22" s="187">
        <f t="shared" si="68"/>
        <v>7.436918846405402</v>
      </c>
      <c r="AG22" s="187">
        <f t="shared" si="68"/>
        <v>7.3424988151203</v>
      </c>
      <c r="AH22" s="187">
        <f t="shared" si="68"/>
        <v>7.247528000319368</v>
      </c>
      <c r="AI22" s="187">
        <f t="shared" si="68"/>
        <v>7.152003189098764</v>
      </c>
      <c r="AJ22" s="187">
        <f t="shared" si="68"/>
        <v>7.055921149812707</v>
      </c>
      <c r="AK22" s="187">
        <f t="shared" si="68"/>
        <v>6.959278631964146</v>
      </c>
      <c r="AL22" s="187">
        <f t="shared" si="68"/>
        <v>6.862072366094804</v>
      </c>
      <c r="AM22" s="187">
        <f t="shared" si="68"/>
        <v>6.764299063674557</v>
      </c>
      <c r="AN22" s="187">
        <f t="shared" si="68"/>
        <v>6.66595541699019</v>
      </c>
      <c r="AO22" s="188">
        <f>SUM(AC22:AN22)</f>
        <v>86.35829217426407</v>
      </c>
      <c r="AP22" s="187">
        <f aca="true" t="shared" si="69" ref="AP22:BA22">AO25*$B18/12</f>
        <v>6.5670380990335</v>
      </c>
      <c r="AQ22" s="187">
        <f t="shared" si="69"/>
        <v>6.467543763388728</v>
      </c>
      <c r="AR22" s="187">
        <f t="shared" si="69"/>
        <v>6.367469044119361</v>
      </c>
      <c r="AS22" s="187">
        <f t="shared" si="69"/>
        <v>6.266810555654257</v>
      </c>
      <c r="AT22" s="187">
        <f t="shared" si="69"/>
        <v>6.165564892673106</v>
      </c>
      <c r="AU22" s="187">
        <f t="shared" si="69"/>
        <v>6.063728629991232</v>
      </c>
      <c r="AV22" s="187">
        <f t="shared" si="69"/>
        <v>5.961298322443715</v>
      </c>
      <c r="AW22" s="187">
        <f t="shared" si="69"/>
        <v>5.858270504768836</v>
      </c>
      <c r="AX22" s="187">
        <f t="shared" si="69"/>
        <v>5.754641691490853</v>
      </c>
      <c r="AY22" s="187">
        <f t="shared" si="69"/>
        <v>5.650408376802083</v>
      </c>
      <c r="AZ22" s="187">
        <f t="shared" si="69"/>
        <v>5.5455670344442956</v>
      </c>
      <c r="BA22" s="187">
        <f t="shared" si="69"/>
        <v>5.44011411758942</v>
      </c>
      <c r="BB22" s="188">
        <f>SUM(AP22:BA22)</f>
        <v>72.10845503239938</v>
      </c>
      <c r="BC22" s="187">
        <f aca="true" t="shared" si="70" ref="BC22:BN22">BB25*$B18/12</f>
        <v>5.334046058719558</v>
      </c>
      <c r="BD22" s="187">
        <f t="shared" si="70"/>
        <v>5.227359269506288</v>
      </c>
      <c r="BE22" s="187">
        <f t="shared" si="70"/>
        <v>5.120050140689274</v>
      </c>
      <c r="BF22" s="187">
        <f t="shared" si="70"/>
        <v>5.012115041954162</v>
      </c>
      <c r="BG22" s="187">
        <f t="shared" si="70"/>
        <v>4.90355032180976</v>
      </c>
      <c r="BH22" s="187">
        <f t="shared" si="70"/>
        <v>4.794352307464517</v>
      </c>
      <c r="BI22" s="187">
        <f t="shared" si="70"/>
        <v>4.68451730470226</v>
      </c>
      <c r="BJ22" s="187">
        <f t="shared" si="70"/>
        <v>4.574041597757223</v>
      </c>
      <c r="BK22" s="187">
        <f t="shared" si="70"/>
        <v>4.4629214491883396</v>
      </c>
      <c r="BL22" s="187">
        <f t="shared" si="70"/>
        <v>4.351153099752804</v>
      </c>
      <c r="BM22" s="187">
        <f t="shared" si="70"/>
        <v>4.238732768278895</v>
      </c>
      <c r="BN22" s="187">
        <f t="shared" si="70"/>
        <v>4.125656651538055</v>
      </c>
      <c r="BO22" s="188">
        <f>SUM(BC22:BN22)</f>
        <v>56.82849601136114</v>
      </c>
      <c r="BP22" s="187">
        <f aca="true" t="shared" si="71" ref="BP22:CA22">BO25*$B18/12</f>
        <v>4.011920924116226</v>
      </c>
      <c r="BQ22" s="187">
        <f t="shared" si="71"/>
        <v>3.8975217382844374</v>
      </c>
      <c r="BR22" s="187">
        <f t="shared" si="71"/>
        <v>3.7824552238686295</v>
      </c>
      <c r="BS22" s="187">
        <f t="shared" si="71"/>
        <v>3.6667174881187297</v>
      </c>
      <c r="BT22" s="187">
        <f t="shared" si="71"/>
        <v>3.550304615576955</v>
      </c>
      <c r="BU22" s="187">
        <f t="shared" si="71"/>
        <v>3.433212667945353</v>
      </c>
      <c r="BV22" s="187">
        <f t="shared" si="71"/>
        <v>3.3154376839525668</v>
      </c>
      <c r="BW22" s="187">
        <f t="shared" si="71"/>
        <v>3.1969756792198236</v>
      </c>
      <c r="BX22" s="187">
        <f t="shared" si="71"/>
        <v>3.0778226461261387</v>
      </c>
      <c r="BY22" s="187">
        <f t="shared" si="71"/>
        <v>2.95797455367274</v>
      </c>
      <c r="BZ22" s="187">
        <f t="shared" si="71"/>
        <v>2.8374273473466984</v>
      </c>
      <c r="CA22" s="187">
        <f t="shared" si="71"/>
        <v>2.7161769489837533</v>
      </c>
      <c r="CB22" s="188">
        <f>SUM(BP22:CA22)</f>
        <v>40.443947517212045</v>
      </c>
      <c r="CC22" s="187">
        <f aca="true" t="shared" si="72" ref="CC22:CN22">CB25*$B18/12</f>
        <v>2.594219256630358</v>
      </c>
      <c r="CD22" s="187">
        <f t="shared" si="72"/>
        <v>2.4715501444049015</v>
      </c>
      <c r="CE22" s="187">
        <f t="shared" si="72"/>
        <v>2.34816546235813</v>
      </c>
      <c r="CF22" s="187">
        <f t="shared" si="72"/>
        <v>2.224061036332752</v>
      </c>
      <c r="CG22" s="187">
        <f t="shared" si="72"/>
        <v>2.099232667822226</v>
      </c>
      <c r="CH22" s="187">
        <f t="shared" si="72"/>
        <v>1.9736761338287223</v>
      </c>
      <c r="CI22" s="187">
        <f t="shared" si="72"/>
        <v>1.8473871867202558</v>
      </c>
      <c r="CJ22" s="187">
        <f t="shared" si="72"/>
        <v>1.7203615540869903</v>
      </c>
      <c r="CK22" s="187">
        <f t="shared" si="72"/>
        <v>1.5925949385966973</v>
      </c>
      <c r="CL22" s="187">
        <f t="shared" si="72"/>
        <v>1.4640830178493776</v>
      </c>
      <c r="CM22" s="187">
        <f t="shared" si="72"/>
        <v>1.334821444231032</v>
      </c>
      <c r="CN22" s="187">
        <f t="shared" si="72"/>
        <v>1.2048058447665793</v>
      </c>
      <c r="CO22" s="188">
        <f>SUM(CC22:CN22)</f>
        <v>22.874958687628027</v>
      </c>
      <c r="CP22" s="187">
        <f aca="true" t="shared" si="73" ref="CP22:DA22">CO25*$B18/12</f>
        <v>1.0740318209719173</v>
      </c>
      <c r="CQ22" s="187">
        <f t="shared" si="73"/>
        <v>0.9424949487051196</v>
      </c>
      <c r="CR22" s="187">
        <f t="shared" si="73"/>
        <v>0.8101907780167658</v>
      </c>
      <c r="CS22" s="187">
        <f t="shared" si="73"/>
        <v>0.6771148329993966</v>
      </c>
      <c r="CT22" s="187">
        <f t="shared" si="73"/>
        <v>0.5432626116360927</v>
      </c>
      <c r="CU22" s="187">
        <f t="shared" si="73"/>
        <v>0.4086295856481695</v>
      </c>
      <c r="CV22" s="187">
        <f t="shared" si="73"/>
        <v>0.27321120034198343</v>
      </c>
      <c r="CW22" s="187">
        <f t="shared" si="73"/>
        <v>0.13700287445484463</v>
      </c>
      <c r="CX22" s="187">
        <f t="shared" si="73"/>
        <v>3.0837554731988353E-14</v>
      </c>
      <c r="CY22" s="187">
        <f t="shared" si="73"/>
        <v>3.0837554731988353E-14</v>
      </c>
      <c r="CZ22" s="187">
        <f t="shared" si="73"/>
        <v>3.0837554731988353E-14</v>
      </c>
      <c r="DA22" s="187">
        <f t="shared" si="73"/>
        <v>3.0837554731988353E-14</v>
      </c>
      <c r="DB22" s="188">
        <f>SUM(CP22:DA22)</f>
        <v>4.865938652774414</v>
      </c>
      <c r="DC22" s="187">
        <f aca="true" t="shared" si="74" ref="DC22:DN22">DB25*$B18/12</f>
        <v>3.0837554731988353E-14</v>
      </c>
      <c r="DD22" s="187">
        <f t="shared" si="74"/>
        <v>3.0837554731988353E-14</v>
      </c>
      <c r="DE22" s="187">
        <f t="shared" si="74"/>
        <v>3.0837554731988353E-14</v>
      </c>
      <c r="DF22" s="187">
        <f t="shared" si="74"/>
        <v>3.0837554731988353E-14</v>
      </c>
      <c r="DG22" s="187">
        <f t="shared" si="74"/>
        <v>3.0837554731988353E-14</v>
      </c>
      <c r="DH22" s="187">
        <f t="shared" si="74"/>
        <v>3.0837554731988353E-14</v>
      </c>
      <c r="DI22" s="187">
        <f t="shared" si="74"/>
        <v>3.0837554731988353E-14</v>
      </c>
      <c r="DJ22" s="187">
        <f t="shared" si="74"/>
        <v>3.0837554731988353E-14</v>
      </c>
      <c r="DK22" s="187">
        <f t="shared" si="74"/>
        <v>3.0837554731988353E-14</v>
      </c>
      <c r="DL22" s="187">
        <f t="shared" si="74"/>
        <v>3.0837554731988353E-14</v>
      </c>
      <c r="DM22" s="187">
        <f t="shared" si="74"/>
        <v>3.0837554731988353E-14</v>
      </c>
      <c r="DN22" s="187">
        <f t="shared" si="74"/>
        <v>3.0837554731988353E-14</v>
      </c>
      <c r="DO22" s="188">
        <f>SUM(DC22:DN22)</f>
        <v>3.700506567838603E-13</v>
      </c>
    </row>
    <row r="23" spans="1:119" ht="12.75">
      <c r="A23" s="181" t="s">
        <v>11</v>
      </c>
      <c r="B23" s="186">
        <f>O23+AB23+AO23+BB23+BO23+CB23+CO23+DB23+DO23</f>
        <v>1385.6062499999948</v>
      </c>
      <c r="C23" s="187"/>
      <c r="D23" s="187"/>
      <c r="E23" s="187"/>
      <c r="F23" s="187"/>
      <c r="G23" s="187"/>
      <c r="H23" s="187"/>
      <c r="I23" s="187"/>
      <c r="J23" s="187"/>
      <c r="K23" s="192"/>
      <c r="L23" s="192"/>
      <c r="M23" s="192"/>
      <c r="N23" s="192"/>
      <c r="O23" s="188">
        <f>SUM(C23:N23)</f>
        <v>0</v>
      </c>
      <c r="P23" s="192"/>
      <c r="Q23" s="192"/>
      <c r="R23" s="192"/>
      <c r="S23" s="192"/>
      <c r="T23" s="192"/>
      <c r="U23" s="192"/>
      <c r="V23" s="192"/>
      <c r="W23" s="192"/>
      <c r="X23" s="187">
        <f>$B27-X22</f>
        <v>15.54050679885149</v>
      </c>
      <c r="Y23" s="187">
        <f>$B27-Y22</f>
        <v>15.631159755178125</v>
      </c>
      <c r="Z23" s="187">
        <f>$B27-Z22</f>
        <v>15.722341520416663</v>
      </c>
      <c r="AA23" s="187">
        <f>$B27-AA22</f>
        <v>15.81405517928576</v>
      </c>
      <c r="AB23" s="188">
        <f>SUM(P23:AA23)</f>
        <v>62.708063253732035</v>
      </c>
      <c r="AC23" s="187">
        <f aca="true" t="shared" si="75" ref="AC23:AN23">$B27-AC22</f>
        <v>15.90630383449826</v>
      </c>
      <c r="AD23" s="187">
        <f t="shared" si="75"/>
        <v>15.999090606866165</v>
      </c>
      <c r="AE23" s="187">
        <f t="shared" si="75"/>
        <v>16.09241863540622</v>
      </c>
      <c r="AF23" s="187">
        <f t="shared" si="75"/>
        <v>16.18629107744609</v>
      </c>
      <c r="AG23" s="187">
        <f t="shared" si="75"/>
        <v>16.28071110873119</v>
      </c>
      <c r="AH23" s="187">
        <f t="shared" si="75"/>
        <v>16.375681923532124</v>
      </c>
      <c r="AI23" s="187">
        <f t="shared" si="75"/>
        <v>16.471206734752727</v>
      </c>
      <c r="AJ23" s="187">
        <f t="shared" si="75"/>
        <v>16.567288774038783</v>
      </c>
      <c r="AK23" s="187">
        <f t="shared" si="75"/>
        <v>16.663931291887344</v>
      </c>
      <c r="AL23" s="187">
        <f t="shared" si="75"/>
        <v>16.761137557756687</v>
      </c>
      <c r="AM23" s="187">
        <f t="shared" si="75"/>
        <v>16.858910860176934</v>
      </c>
      <c r="AN23" s="187">
        <f t="shared" si="75"/>
        <v>16.9572545068613</v>
      </c>
      <c r="AO23" s="188">
        <f>SUM(AC23:AN23)</f>
        <v>197.1202269119538</v>
      </c>
      <c r="AP23" s="187">
        <f aca="true" t="shared" si="76" ref="AP23:BA23">$B27-AP22</f>
        <v>17.05617182481799</v>
      </c>
      <c r="AQ23" s="187">
        <f t="shared" si="76"/>
        <v>17.15566616046276</v>
      </c>
      <c r="AR23" s="187">
        <f t="shared" si="76"/>
        <v>17.25574087973213</v>
      </c>
      <c r="AS23" s="187">
        <f t="shared" si="76"/>
        <v>17.356399368197234</v>
      </c>
      <c r="AT23" s="187">
        <f t="shared" si="76"/>
        <v>17.457645031178384</v>
      </c>
      <c r="AU23" s="187">
        <f t="shared" si="76"/>
        <v>17.55948129386026</v>
      </c>
      <c r="AV23" s="187">
        <f t="shared" si="76"/>
        <v>17.661911601407777</v>
      </c>
      <c r="AW23" s="187">
        <f t="shared" si="76"/>
        <v>17.764939419082655</v>
      </c>
      <c r="AX23" s="187">
        <f t="shared" si="76"/>
        <v>17.868568232360637</v>
      </c>
      <c r="AY23" s="187">
        <f t="shared" si="76"/>
        <v>17.972801547049407</v>
      </c>
      <c r="AZ23" s="187">
        <f t="shared" si="76"/>
        <v>18.077642889407194</v>
      </c>
      <c r="BA23" s="187">
        <f t="shared" si="76"/>
        <v>18.18309580626207</v>
      </c>
      <c r="BB23" s="188">
        <f>SUM(AP23:BA23)</f>
        <v>211.3700640538185</v>
      </c>
      <c r="BC23" s="187">
        <f aca="true" t="shared" si="77" ref="BC23:BN23">$B27-BC22</f>
        <v>18.289163865131933</v>
      </c>
      <c r="BD23" s="187">
        <f t="shared" si="77"/>
        <v>18.395850654345203</v>
      </c>
      <c r="BE23" s="187">
        <f t="shared" si="77"/>
        <v>18.503159783162218</v>
      </c>
      <c r="BF23" s="187">
        <f t="shared" si="77"/>
        <v>18.61109488189733</v>
      </c>
      <c r="BG23" s="187">
        <f t="shared" si="77"/>
        <v>18.71965960204173</v>
      </c>
      <c r="BH23" s="187">
        <f t="shared" si="77"/>
        <v>18.828857616386973</v>
      </c>
      <c r="BI23" s="187">
        <f t="shared" si="77"/>
        <v>18.93869261914923</v>
      </c>
      <c r="BJ23" s="187">
        <f t="shared" si="77"/>
        <v>19.049168326094268</v>
      </c>
      <c r="BK23" s="187">
        <f t="shared" si="77"/>
        <v>19.16028847466315</v>
      </c>
      <c r="BL23" s="187">
        <f t="shared" si="77"/>
        <v>19.272056824098687</v>
      </c>
      <c r="BM23" s="187">
        <f t="shared" si="77"/>
        <v>19.384477155572597</v>
      </c>
      <c r="BN23" s="187">
        <f t="shared" si="77"/>
        <v>19.497553272313436</v>
      </c>
      <c r="BO23" s="188">
        <f>SUM(BC23:BN23)</f>
        <v>226.65002307485676</v>
      </c>
      <c r="BP23" s="187">
        <f aca="true" t="shared" si="78" ref="BP23:CA23">$B27-BP22</f>
        <v>19.611288999735265</v>
      </c>
      <c r="BQ23" s="187">
        <f t="shared" si="78"/>
        <v>19.72568818556705</v>
      </c>
      <c r="BR23" s="187">
        <f t="shared" si="78"/>
        <v>19.84075469998286</v>
      </c>
      <c r="BS23" s="187">
        <f t="shared" si="78"/>
        <v>19.956492435732763</v>
      </c>
      <c r="BT23" s="187">
        <f t="shared" si="78"/>
        <v>20.072905308274535</v>
      </c>
      <c r="BU23" s="187">
        <f t="shared" si="78"/>
        <v>20.18999725590614</v>
      </c>
      <c r="BV23" s="187">
        <f t="shared" si="78"/>
        <v>20.307772239898924</v>
      </c>
      <c r="BW23" s="187">
        <f t="shared" si="78"/>
        <v>20.426234244631665</v>
      </c>
      <c r="BX23" s="187">
        <f t="shared" si="78"/>
        <v>20.545387277725354</v>
      </c>
      <c r="BY23" s="187">
        <f t="shared" si="78"/>
        <v>20.66523537017875</v>
      </c>
      <c r="BZ23" s="187">
        <f t="shared" si="78"/>
        <v>20.785782576504793</v>
      </c>
      <c r="CA23" s="187">
        <f t="shared" si="78"/>
        <v>20.907032974867736</v>
      </c>
      <c r="CB23" s="188">
        <f>SUM(BP23:CA23)</f>
        <v>243.03457156900586</v>
      </c>
      <c r="CC23" s="187">
        <f aca="true" t="shared" si="79" ref="CC23:CN23">$B27-CC22</f>
        <v>21.028990667221134</v>
      </c>
      <c r="CD23" s="187">
        <f t="shared" si="79"/>
        <v>21.15165977944659</v>
      </c>
      <c r="CE23" s="187">
        <f t="shared" si="79"/>
        <v>21.275044461493362</v>
      </c>
      <c r="CF23" s="187">
        <f t="shared" si="79"/>
        <v>21.399148887518738</v>
      </c>
      <c r="CG23" s="187">
        <f t="shared" si="79"/>
        <v>21.523977256029266</v>
      </c>
      <c r="CH23" s="187">
        <f t="shared" si="79"/>
        <v>21.64953379002277</v>
      </c>
      <c r="CI23" s="187">
        <f t="shared" si="79"/>
        <v>21.775822737131236</v>
      </c>
      <c r="CJ23" s="187">
        <f t="shared" si="79"/>
        <v>21.9028483697645</v>
      </c>
      <c r="CK23" s="187">
        <f t="shared" si="79"/>
        <v>22.030614985254793</v>
      </c>
      <c r="CL23" s="187">
        <f t="shared" si="79"/>
        <v>22.159126906002115</v>
      </c>
      <c r="CM23" s="187">
        <f t="shared" si="79"/>
        <v>22.28838847962046</v>
      </c>
      <c r="CN23" s="187">
        <f t="shared" si="79"/>
        <v>22.41840407908491</v>
      </c>
      <c r="CO23" s="188">
        <f>SUM(CC23:CN23)</f>
        <v>260.60356039858993</v>
      </c>
      <c r="CP23" s="187">
        <f aca="true" t="shared" si="80" ref="CP23:CW23">$B27-CP22</f>
        <v>22.549178102879573</v>
      </c>
      <c r="CQ23" s="187">
        <f t="shared" si="80"/>
        <v>22.680714975146373</v>
      </c>
      <c r="CR23" s="187">
        <f t="shared" si="80"/>
        <v>22.813019145834726</v>
      </c>
      <c r="CS23" s="187">
        <f t="shared" si="80"/>
        <v>22.946095090852094</v>
      </c>
      <c r="CT23" s="187">
        <f t="shared" si="80"/>
        <v>23.0799473122154</v>
      </c>
      <c r="CU23" s="187">
        <f t="shared" si="80"/>
        <v>23.21458033820332</v>
      </c>
      <c r="CV23" s="187">
        <f t="shared" si="80"/>
        <v>23.349998723509508</v>
      </c>
      <c r="CW23" s="187">
        <f t="shared" si="80"/>
        <v>23.486207049396647</v>
      </c>
      <c r="CX23" s="187"/>
      <c r="CY23" s="187"/>
      <c r="CZ23" s="187"/>
      <c r="DA23" s="187"/>
      <c r="DB23" s="188">
        <f>SUM(CP23:DA23)</f>
        <v>184.11974073803765</v>
      </c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8">
        <f>SUM(DC23:DN23)</f>
        <v>0</v>
      </c>
    </row>
    <row r="24" spans="1:119" ht="12.75">
      <c r="A24" s="181" t="s">
        <v>12</v>
      </c>
      <c r="B24" s="186">
        <f>O24+AB24+AO24+BB24+BO24+CB24+CO24+DB24+DO24</f>
        <v>363.7610832673134</v>
      </c>
      <c r="C24" s="187"/>
      <c r="D24" s="187"/>
      <c r="E24" s="187"/>
      <c r="F24" s="187"/>
      <c r="G24" s="187"/>
      <c r="H24" s="187"/>
      <c r="I24" s="187"/>
      <c r="J24" s="187"/>
      <c r="K24" s="192"/>
      <c r="L24" s="192"/>
      <c r="M24" s="192"/>
      <c r="N24" s="192"/>
      <c r="O24" s="188">
        <f>SUM(C24:N24)</f>
        <v>0</v>
      </c>
      <c r="P24" s="192"/>
      <c r="Q24" s="192"/>
      <c r="R24" s="187">
        <f>R22</f>
        <v>8.082703125</v>
      </c>
      <c r="S24" s="187">
        <f>S22</f>
        <v>8.082703125</v>
      </c>
      <c r="T24" s="187">
        <f>T22</f>
        <v>8.082703125</v>
      </c>
      <c r="U24" s="187">
        <f>U22</f>
        <v>8.082703125</v>
      </c>
      <c r="V24" s="187">
        <f aca="true" t="shared" si="81" ref="V24:AA24">V22</f>
        <v>8.082703125</v>
      </c>
      <c r="W24" s="187">
        <f t="shared" si="81"/>
        <v>8.082703125</v>
      </c>
      <c r="X24" s="187">
        <f t="shared" si="81"/>
        <v>8.082703125</v>
      </c>
      <c r="Y24" s="187">
        <f t="shared" si="81"/>
        <v>7.992050168673367</v>
      </c>
      <c r="Z24" s="187">
        <f t="shared" si="81"/>
        <v>7.900868403434829</v>
      </c>
      <c r="AA24" s="187">
        <f t="shared" si="81"/>
        <v>7.809154744565731</v>
      </c>
      <c r="AB24" s="188">
        <f>SUM(P24:AA24)</f>
        <v>80.28099519167394</v>
      </c>
      <c r="AC24" s="187">
        <f aca="true" t="shared" si="82" ref="AC24:AK24">AC22</f>
        <v>7.71690608935323</v>
      </c>
      <c r="AD24" s="187">
        <f t="shared" si="82"/>
        <v>7.6241193169853245</v>
      </c>
      <c r="AE24" s="187">
        <f t="shared" si="82"/>
        <v>7.530791288445272</v>
      </c>
      <c r="AF24" s="187">
        <f t="shared" si="82"/>
        <v>7.436918846405402</v>
      </c>
      <c r="AG24" s="187">
        <f t="shared" si="82"/>
        <v>7.3424988151203</v>
      </c>
      <c r="AH24" s="187">
        <f t="shared" si="82"/>
        <v>7.247528000319368</v>
      </c>
      <c r="AI24" s="187">
        <f t="shared" si="82"/>
        <v>7.152003189098764</v>
      </c>
      <c r="AJ24" s="187">
        <f t="shared" si="82"/>
        <v>7.055921149812707</v>
      </c>
      <c r="AK24" s="187">
        <f t="shared" si="82"/>
        <v>6.959278631964146</v>
      </c>
      <c r="AL24" s="187">
        <f>AL22</f>
        <v>6.862072366094804</v>
      </c>
      <c r="AM24" s="187">
        <f>AM22</f>
        <v>6.764299063674557</v>
      </c>
      <c r="AN24" s="187">
        <f>AN22</f>
        <v>6.66595541699019</v>
      </c>
      <c r="AO24" s="188">
        <f>SUM(AC24:AN24)</f>
        <v>86.35829217426407</v>
      </c>
      <c r="AP24" s="187">
        <f aca="true" t="shared" si="83" ref="AP24:BA24">AP22</f>
        <v>6.5670380990335</v>
      </c>
      <c r="AQ24" s="187">
        <f t="shared" si="83"/>
        <v>6.467543763388728</v>
      </c>
      <c r="AR24" s="187">
        <f t="shared" si="83"/>
        <v>6.367469044119361</v>
      </c>
      <c r="AS24" s="187">
        <f t="shared" si="83"/>
        <v>6.266810555654257</v>
      </c>
      <c r="AT24" s="187">
        <f t="shared" si="83"/>
        <v>6.165564892673106</v>
      </c>
      <c r="AU24" s="187">
        <f t="shared" si="83"/>
        <v>6.063728629991232</v>
      </c>
      <c r="AV24" s="187">
        <f t="shared" si="83"/>
        <v>5.961298322443715</v>
      </c>
      <c r="AW24" s="187">
        <f t="shared" si="83"/>
        <v>5.858270504768836</v>
      </c>
      <c r="AX24" s="187">
        <f t="shared" si="83"/>
        <v>5.754641691490853</v>
      </c>
      <c r="AY24" s="187">
        <f t="shared" si="83"/>
        <v>5.650408376802083</v>
      </c>
      <c r="AZ24" s="187">
        <f t="shared" si="83"/>
        <v>5.5455670344442956</v>
      </c>
      <c r="BA24" s="187">
        <f t="shared" si="83"/>
        <v>5.44011411758942</v>
      </c>
      <c r="BB24" s="188">
        <f>SUM(AP24:BA24)</f>
        <v>72.10845503239938</v>
      </c>
      <c r="BC24" s="187">
        <f aca="true" t="shared" si="84" ref="BC24:BN24">BC22</f>
        <v>5.334046058719558</v>
      </c>
      <c r="BD24" s="187">
        <f t="shared" si="84"/>
        <v>5.227359269506288</v>
      </c>
      <c r="BE24" s="187">
        <f t="shared" si="84"/>
        <v>5.120050140689274</v>
      </c>
      <c r="BF24" s="187">
        <f t="shared" si="84"/>
        <v>5.012115041954162</v>
      </c>
      <c r="BG24" s="187">
        <f t="shared" si="84"/>
        <v>4.90355032180976</v>
      </c>
      <c r="BH24" s="187">
        <f t="shared" si="84"/>
        <v>4.794352307464517</v>
      </c>
      <c r="BI24" s="187">
        <f t="shared" si="84"/>
        <v>4.68451730470226</v>
      </c>
      <c r="BJ24" s="187">
        <f t="shared" si="84"/>
        <v>4.574041597757223</v>
      </c>
      <c r="BK24" s="187">
        <f t="shared" si="84"/>
        <v>4.4629214491883396</v>
      </c>
      <c r="BL24" s="187">
        <f t="shared" si="84"/>
        <v>4.351153099752804</v>
      </c>
      <c r="BM24" s="187">
        <f t="shared" si="84"/>
        <v>4.238732768278895</v>
      </c>
      <c r="BN24" s="187">
        <f t="shared" si="84"/>
        <v>4.125656651538055</v>
      </c>
      <c r="BO24" s="188">
        <f>SUM(BC24:BN24)</f>
        <v>56.82849601136114</v>
      </c>
      <c r="BP24" s="187">
        <f aca="true" t="shared" si="85" ref="BP24:CA24">BP22</f>
        <v>4.011920924116226</v>
      </c>
      <c r="BQ24" s="187">
        <f t="shared" si="85"/>
        <v>3.8975217382844374</v>
      </c>
      <c r="BR24" s="187">
        <f t="shared" si="85"/>
        <v>3.7824552238686295</v>
      </c>
      <c r="BS24" s="187">
        <f t="shared" si="85"/>
        <v>3.6667174881187297</v>
      </c>
      <c r="BT24" s="187">
        <f t="shared" si="85"/>
        <v>3.550304615576955</v>
      </c>
      <c r="BU24" s="187">
        <f t="shared" si="85"/>
        <v>3.433212667945353</v>
      </c>
      <c r="BV24" s="187">
        <f t="shared" si="85"/>
        <v>3.3154376839525668</v>
      </c>
      <c r="BW24" s="187">
        <f t="shared" si="85"/>
        <v>3.1969756792198236</v>
      </c>
      <c r="BX24" s="187">
        <f t="shared" si="85"/>
        <v>3.0778226461261387</v>
      </c>
      <c r="BY24" s="187">
        <f t="shared" si="85"/>
        <v>2.95797455367274</v>
      </c>
      <c r="BZ24" s="187">
        <f t="shared" si="85"/>
        <v>2.8374273473466984</v>
      </c>
      <c r="CA24" s="187">
        <f t="shared" si="85"/>
        <v>2.7161769489837533</v>
      </c>
      <c r="CB24" s="188">
        <f>SUM(BP24:CA24)</f>
        <v>40.443947517212045</v>
      </c>
      <c r="CC24" s="187">
        <f aca="true" t="shared" si="86" ref="CC24:CN24">CC22</f>
        <v>2.594219256630358</v>
      </c>
      <c r="CD24" s="187">
        <f t="shared" si="86"/>
        <v>2.4715501444049015</v>
      </c>
      <c r="CE24" s="187">
        <f t="shared" si="86"/>
        <v>2.34816546235813</v>
      </c>
      <c r="CF24" s="187">
        <f t="shared" si="86"/>
        <v>2.224061036332752</v>
      </c>
      <c r="CG24" s="187">
        <f t="shared" si="86"/>
        <v>2.099232667822226</v>
      </c>
      <c r="CH24" s="187">
        <f t="shared" si="86"/>
        <v>1.9736761338287223</v>
      </c>
      <c r="CI24" s="187">
        <f t="shared" si="86"/>
        <v>1.8473871867202558</v>
      </c>
      <c r="CJ24" s="187">
        <f t="shared" si="86"/>
        <v>1.7203615540869903</v>
      </c>
      <c r="CK24" s="187">
        <f t="shared" si="86"/>
        <v>1.5925949385966973</v>
      </c>
      <c r="CL24" s="187">
        <f t="shared" si="86"/>
        <v>1.4640830178493776</v>
      </c>
      <c r="CM24" s="187">
        <f t="shared" si="86"/>
        <v>1.334821444231032</v>
      </c>
      <c r="CN24" s="187">
        <f t="shared" si="86"/>
        <v>1.2048058447665793</v>
      </c>
      <c r="CO24" s="188">
        <f>SUM(CC24:CN24)</f>
        <v>22.874958687628027</v>
      </c>
      <c r="CP24" s="187">
        <f aca="true" t="shared" si="87" ref="CP24:DA24">CP22</f>
        <v>1.0740318209719173</v>
      </c>
      <c r="CQ24" s="187">
        <f t="shared" si="87"/>
        <v>0.9424949487051196</v>
      </c>
      <c r="CR24" s="187">
        <f t="shared" si="87"/>
        <v>0.8101907780167658</v>
      </c>
      <c r="CS24" s="187">
        <f t="shared" si="87"/>
        <v>0.6771148329993966</v>
      </c>
      <c r="CT24" s="187">
        <f t="shared" si="87"/>
        <v>0.5432626116360927</v>
      </c>
      <c r="CU24" s="187">
        <f t="shared" si="87"/>
        <v>0.4086295856481695</v>
      </c>
      <c r="CV24" s="187">
        <f t="shared" si="87"/>
        <v>0.27321120034198343</v>
      </c>
      <c r="CW24" s="187">
        <f t="shared" si="87"/>
        <v>0.13700287445484463</v>
      </c>
      <c r="CX24" s="187">
        <f t="shared" si="87"/>
        <v>3.0837554731988353E-14</v>
      </c>
      <c r="CY24" s="187">
        <f t="shared" si="87"/>
        <v>3.0837554731988353E-14</v>
      </c>
      <c r="CZ24" s="187">
        <f t="shared" si="87"/>
        <v>3.0837554731988353E-14</v>
      </c>
      <c r="DA24" s="187">
        <f t="shared" si="87"/>
        <v>3.0837554731988353E-14</v>
      </c>
      <c r="DB24" s="188">
        <f>SUM(CP24:DA24)</f>
        <v>4.865938652774414</v>
      </c>
      <c r="DC24" s="187">
        <f aca="true" t="shared" si="88" ref="DC24:DN24">DC22</f>
        <v>3.0837554731988353E-14</v>
      </c>
      <c r="DD24" s="187">
        <f t="shared" si="88"/>
        <v>3.0837554731988353E-14</v>
      </c>
      <c r="DE24" s="187">
        <f t="shared" si="88"/>
        <v>3.0837554731988353E-14</v>
      </c>
      <c r="DF24" s="187">
        <f t="shared" si="88"/>
        <v>3.0837554731988353E-14</v>
      </c>
      <c r="DG24" s="187">
        <f t="shared" si="88"/>
        <v>3.0837554731988353E-14</v>
      </c>
      <c r="DH24" s="187">
        <f t="shared" si="88"/>
        <v>3.0837554731988353E-14</v>
      </c>
      <c r="DI24" s="187">
        <f t="shared" si="88"/>
        <v>3.0837554731988353E-14</v>
      </c>
      <c r="DJ24" s="187">
        <f t="shared" si="88"/>
        <v>3.0837554731988353E-14</v>
      </c>
      <c r="DK24" s="187">
        <f t="shared" si="88"/>
        <v>3.0837554731988353E-14</v>
      </c>
      <c r="DL24" s="187">
        <f t="shared" si="88"/>
        <v>3.0837554731988353E-14</v>
      </c>
      <c r="DM24" s="187">
        <f t="shared" si="88"/>
        <v>3.0837554731988353E-14</v>
      </c>
      <c r="DN24" s="187">
        <f t="shared" si="88"/>
        <v>3.0837554731988353E-14</v>
      </c>
      <c r="DO24" s="188">
        <f>SUM(DC24:DN24)</f>
        <v>3.700506567838603E-13</v>
      </c>
    </row>
    <row r="25" spans="1:119" ht="12.75">
      <c r="A25" s="181" t="s">
        <v>13</v>
      </c>
      <c r="B25" s="186">
        <f>DO25</f>
        <v>5.286437954055145E-12</v>
      </c>
      <c r="C25" s="187">
        <f>C20</f>
        <v>0</v>
      </c>
      <c r="D25" s="187">
        <f aca="true" t="shared" si="89" ref="D25:N25">C25+D20-D23+D21</f>
        <v>0</v>
      </c>
      <c r="E25" s="187">
        <f t="shared" si="89"/>
        <v>0</v>
      </c>
      <c r="F25" s="187">
        <f t="shared" si="89"/>
        <v>0</v>
      </c>
      <c r="G25" s="187">
        <f t="shared" si="89"/>
        <v>0</v>
      </c>
      <c r="H25" s="187">
        <f t="shared" si="89"/>
        <v>0</v>
      </c>
      <c r="I25" s="187">
        <f t="shared" si="89"/>
        <v>0</v>
      </c>
      <c r="J25" s="187">
        <f t="shared" si="89"/>
        <v>1338.75</v>
      </c>
      <c r="K25" s="187">
        <f t="shared" si="89"/>
        <v>1338.75</v>
      </c>
      <c r="L25" s="187">
        <f t="shared" si="89"/>
        <v>1338.75</v>
      </c>
      <c r="M25" s="187">
        <f t="shared" si="89"/>
        <v>1338.75</v>
      </c>
      <c r="N25" s="187">
        <f t="shared" si="89"/>
        <v>1338.75</v>
      </c>
      <c r="O25" s="188">
        <f>N25</f>
        <v>1338.75</v>
      </c>
      <c r="P25" s="187">
        <f aca="true" t="shared" si="90" ref="P25:AA25">O25+P20-P23+P21</f>
        <v>1338.75</v>
      </c>
      <c r="Q25" s="187">
        <f t="shared" si="90"/>
        <v>1385.60625</v>
      </c>
      <c r="R25" s="187">
        <f t="shared" si="90"/>
        <v>1385.60625</v>
      </c>
      <c r="S25" s="187">
        <f t="shared" si="90"/>
        <v>1385.60625</v>
      </c>
      <c r="T25" s="187">
        <f t="shared" si="90"/>
        <v>1385.60625</v>
      </c>
      <c r="U25" s="187">
        <f t="shared" si="90"/>
        <v>1385.60625</v>
      </c>
      <c r="V25" s="187">
        <f t="shared" si="90"/>
        <v>1385.60625</v>
      </c>
      <c r="W25" s="187">
        <f t="shared" si="90"/>
        <v>1385.60625</v>
      </c>
      <c r="X25" s="187">
        <f t="shared" si="90"/>
        <v>1370.0657432011485</v>
      </c>
      <c r="Y25" s="187">
        <f t="shared" si="90"/>
        <v>1354.4345834459705</v>
      </c>
      <c r="Z25" s="187">
        <f t="shared" si="90"/>
        <v>1338.7122419255538</v>
      </c>
      <c r="AA25" s="187">
        <f t="shared" si="90"/>
        <v>1322.898186746268</v>
      </c>
      <c r="AB25" s="188">
        <f>AA25</f>
        <v>1322.898186746268</v>
      </c>
      <c r="AC25" s="187">
        <f aca="true" t="shared" si="91" ref="AC25:AN25">AB25+AC20-AC23+AC21</f>
        <v>1306.9918829117698</v>
      </c>
      <c r="AD25" s="187">
        <f t="shared" si="91"/>
        <v>1290.9927923049036</v>
      </c>
      <c r="AE25" s="187">
        <f t="shared" si="91"/>
        <v>1274.9003736694974</v>
      </c>
      <c r="AF25" s="187">
        <f t="shared" si="91"/>
        <v>1258.7140825920512</v>
      </c>
      <c r="AG25" s="187">
        <f t="shared" si="91"/>
        <v>1242.4333714833201</v>
      </c>
      <c r="AH25" s="187">
        <f t="shared" si="91"/>
        <v>1226.057689559788</v>
      </c>
      <c r="AI25" s="187">
        <f t="shared" si="91"/>
        <v>1209.5864828250353</v>
      </c>
      <c r="AJ25" s="187">
        <f t="shared" si="91"/>
        <v>1193.0191940509965</v>
      </c>
      <c r="AK25" s="187">
        <f t="shared" si="91"/>
        <v>1176.355262759109</v>
      </c>
      <c r="AL25" s="187">
        <f t="shared" si="91"/>
        <v>1159.5941252013524</v>
      </c>
      <c r="AM25" s="187">
        <f t="shared" si="91"/>
        <v>1142.7352143411754</v>
      </c>
      <c r="AN25" s="187">
        <f t="shared" si="91"/>
        <v>1125.777959834314</v>
      </c>
      <c r="AO25" s="188">
        <f>AN25</f>
        <v>1125.777959834314</v>
      </c>
      <c r="AP25" s="187">
        <f aca="true" t="shared" si="92" ref="AP25:BA25">AO25+AP20-AP23+AP21</f>
        <v>1108.721788009496</v>
      </c>
      <c r="AQ25" s="187">
        <f t="shared" si="92"/>
        <v>1091.5661218490334</v>
      </c>
      <c r="AR25" s="187">
        <f t="shared" si="92"/>
        <v>1074.3103809693011</v>
      </c>
      <c r="AS25" s="187">
        <f t="shared" si="92"/>
        <v>1056.9539816011038</v>
      </c>
      <c r="AT25" s="187">
        <f t="shared" si="92"/>
        <v>1039.4963365699255</v>
      </c>
      <c r="AU25" s="187">
        <f t="shared" si="92"/>
        <v>1021.9368552760652</v>
      </c>
      <c r="AV25" s="187">
        <f t="shared" si="92"/>
        <v>1004.2749436746575</v>
      </c>
      <c r="AW25" s="187">
        <f t="shared" si="92"/>
        <v>986.5100042555748</v>
      </c>
      <c r="AX25" s="187">
        <f t="shared" si="92"/>
        <v>968.6414360232142</v>
      </c>
      <c r="AY25" s="187">
        <f t="shared" si="92"/>
        <v>950.6686344761648</v>
      </c>
      <c r="AZ25" s="187">
        <f t="shared" si="92"/>
        <v>932.5909915867576</v>
      </c>
      <c r="BA25" s="187">
        <f t="shared" si="92"/>
        <v>914.4078957804956</v>
      </c>
      <c r="BB25" s="188">
        <f>BA25</f>
        <v>914.4078957804956</v>
      </c>
      <c r="BC25" s="187">
        <f aca="true" t="shared" si="93" ref="BC25:BN25">BB25+BC20-BC23+BC21</f>
        <v>896.1187319153636</v>
      </c>
      <c r="BD25" s="187">
        <f t="shared" si="93"/>
        <v>877.7228812610184</v>
      </c>
      <c r="BE25" s="187">
        <f t="shared" si="93"/>
        <v>859.2197214778562</v>
      </c>
      <c r="BF25" s="187">
        <f t="shared" si="93"/>
        <v>840.6086265959589</v>
      </c>
      <c r="BG25" s="187">
        <f t="shared" si="93"/>
        <v>821.8889669939172</v>
      </c>
      <c r="BH25" s="187">
        <f t="shared" si="93"/>
        <v>803.0601093775302</v>
      </c>
      <c r="BI25" s="187">
        <f t="shared" si="93"/>
        <v>784.121416758381</v>
      </c>
      <c r="BJ25" s="187">
        <f t="shared" si="93"/>
        <v>765.0722484322868</v>
      </c>
      <c r="BK25" s="187">
        <f t="shared" si="93"/>
        <v>745.9119599576236</v>
      </c>
      <c r="BL25" s="187">
        <f t="shared" si="93"/>
        <v>726.6399031335249</v>
      </c>
      <c r="BM25" s="187">
        <f t="shared" si="93"/>
        <v>707.2554259779522</v>
      </c>
      <c r="BN25" s="187">
        <f t="shared" si="93"/>
        <v>687.7578727056388</v>
      </c>
      <c r="BO25" s="188">
        <f>BN25</f>
        <v>687.7578727056388</v>
      </c>
      <c r="BP25" s="187">
        <f aca="true" t="shared" si="94" ref="BP25:CA25">BO25+BP20-BP23+BP21</f>
        <v>668.1465837059035</v>
      </c>
      <c r="BQ25" s="187">
        <f t="shared" si="94"/>
        <v>648.4208955203364</v>
      </c>
      <c r="BR25" s="187">
        <f t="shared" si="94"/>
        <v>628.5801408203536</v>
      </c>
      <c r="BS25" s="187">
        <f t="shared" si="94"/>
        <v>608.6236483846208</v>
      </c>
      <c r="BT25" s="187">
        <f t="shared" si="94"/>
        <v>588.5507430763462</v>
      </c>
      <c r="BU25" s="187">
        <f t="shared" si="94"/>
        <v>568.36074582044</v>
      </c>
      <c r="BV25" s="187">
        <f t="shared" si="94"/>
        <v>548.0529735805411</v>
      </c>
      <c r="BW25" s="187">
        <f t="shared" si="94"/>
        <v>527.6267393359094</v>
      </c>
      <c r="BX25" s="187">
        <f t="shared" si="94"/>
        <v>507.08135205818405</v>
      </c>
      <c r="BY25" s="187">
        <f t="shared" si="94"/>
        <v>486.41611668800533</v>
      </c>
      <c r="BZ25" s="187">
        <f t="shared" si="94"/>
        <v>465.63033411150053</v>
      </c>
      <c r="CA25" s="187">
        <f t="shared" si="94"/>
        <v>444.7233011366328</v>
      </c>
      <c r="CB25" s="188">
        <f>CA25</f>
        <v>444.7233011366328</v>
      </c>
      <c r="CC25" s="187">
        <f aca="true" t="shared" si="95" ref="CC25:CN25">CB25+CC20-CC23+CC21</f>
        <v>423.6943104694117</v>
      </c>
      <c r="CD25" s="187">
        <f t="shared" si="95"/>
        <v>402.54265068996506</v>
      </c>
      <c r="CE25" s="187">
        <f t="shared" si="95"/>
        <v>381.2676062284717</v>
      </c>
      <c r="CF25" s="187">
        <f t="shared" si="95"/>
        <v>359.868457340953</v>
      </c>
      <c r="CG25" s="187">
        <f t="shared" si="95"/>
        <v>338.34448008492376</v>
      </c>
      <c r="CH25" s="187">
        <f t="shared" si="95"/>
        <v>316.694946294901</v>
      </c>
      <c r="CI25" s="187">
        <f t="shared" si="95"/>
        <v>294.91912355776975</v>
      </c>
      <c r="CJ25" s="187">
        <f t="shared" si="95"/>
        <v>273.01627518800524</v>
      </c>
      <c r="CK25" s="187">
        <f t="shared" si="95"/>
        <v>250.98566020275044</v>
      </c>
      <c r="CL25" s="187">
        <f t="shared" si="95"/>
        <v>228.82653329674832</v>
      </c>
      <c r="CM25" s="187">
        <f t="shared" si="95"/>
        <v>206.53814481712786</v>
      </c>
      <c r="CN25" s="187">
        <f t="shared" si="95"/>
        <v>184.11974073804294</v>
      </c>
      <c r="CO25" s="188">
        <f>CN25</f>
        <v>184.11974073804294</v>
      </c>
      <c r="CP25" s="187">
        <f aca="true" t="shared" si="96" ref="CP25:DA25">CO25+CP20-CP23+CP21</f>
        <v>161.57056263516336</v>
      </c>
      <c r="CQ25" s="187">
        <f t="shared" si="96"/>
        <v>138.88984766001698</v>
      </c>
      <c r="CR25" s="187">
        <f t="shared" si="96"/>
        <v>116.07682851418225</v>
      </c>
      <c r="CS25" s="187">
        <f t="shared" si="96"/>
        <v>93.13073342333016</v>
      </c>
      <c r="CT25" s="187">
        <f t="shared" si="96"/>
        <v>70.05078611111476</v>
      </c>
      <c r="CU25" s="187">
        <f t="shared" si="96"/>
        <v>46.83620577291144</v>
      </c>
      <c r="CV25" s="187">
        <f t="shared" si="96"/>
        <v>23.486207049401933</v>
      </c>
      <c r="CW25" s="187">
        <f t="shared" si="96"/>
        <v>5.286437954055145E-12</v>
      </c>
      <c r="CX25" s="187">
        <f t="shared" si="96"/>
        <v>5.286437954055145E-12</v>
      </c>
      <c r="CY25" s="187">
        <f t="shared" si="96"/>
        <v>5.286437954055145E-12</v>
      </c>
      <c r="CZ25" s="187">
        <f t="shared" si="96"/>
        <v>5.286437954055145E-12</v>
      </c>
      <c r="DA25" s="187">
        <f t="shared" si="96"/>
        <v>5.286437954055145E-12</v>
      </c>
      <c r="DB25" s="188">
        <f>DA25</f>
        <v>5.286437954055145E-12</v>
      </c>
      <c r="DC25" s="187">
        <f aca="true" t="shared" si="97" ref="DC25:DN25">DB25+DC20-DC23+DC21</f>
        <v>5.286437954055145E-12</v>
      </c>
      <c r="DD25" s="187">
        <f t="shared" si="97"/>
        <v>5.286437954055145E-12</v>
      </c>
      <c r="DE25" s="187">
        <f t="shared" si="97"/>
        <v>5.286437954055145E-12</v>
      </c>
      <c r="DF25" s="187">
        <f t="shared" si="97"/>
        <v>5.286437954055145E-12</v>
      </c>
      <c r="DG25" s="187">
        <f t="shared" si="97"/>
        <v>5.286437954055145E-12</v>
      </c>
      <c r="DH25" s="187">
        <f t="shared" si="97"/>
        <v>5.286437954055145E-12</v>
      </c>
      <c r="DI25" s="187">
        <f t="shared" si="97"/>
        <v>5.286437954055145E-12</v>
      </c>
      <c r="DJ25" s="187">
        <f t="shared" si="97"/>
        <v>5.286437954055145E-12</v>
      </c>
      <c r="DK25" s="187">
        <f t="shared" si="97"/>
        <v>5.286437954055145E-12</v>
      </c>
      <c r="DL25" s="187">
        <f t="shared" si="97"/>
        <v>5.286437954055145E-12</v>
      </c>
      <c r="DM25" s="187">
        <f t="shared" si="97"/>
        <v>5.286437954055145E-12</v>
      </c>
      <c r="DN25" s="187">
        <f t="shared" si="97"/>
        <v>5.286437954055145E-12</v>
      </c>
      <c r="DO25" s="188">
        <f>DN25</f>
        <v>5.286437954055145E-12</v>
      </c>
    </row>
    <row r="26" spans="1:119" ht="12.75">
      <c r="A26" s="173" t="s">
        <v>70</v>
      </c>
      <c r="B26" s="285">
        <f>B13</f>
        <v>72</v>
      </c>
      <c r="CP26" s="176"/>
      <c r="DB26" s="173"/>
      <c r="DO26" s="173"/>
    </row>
    <row r="27" spans="1:119" ht="12.75">
      <c r="A27" s="286" t="s">
        <v>214</v>
      </c>
      <c r="B27" s="287">
        <f>$Q$25*$B18/12/((1-(1+$B18/12)^-$B26))</f>
        <v>23.62320992385149</v>
      </c>
      <c r="DB27" s="173"/>
      <c r="DO27" s="173"/>
    </row>
    <row r="29" ht="12.75">
      <c r="A29" s="194">
        <f>B22-B21-B24</f>
        <v>0</v>
      </c>
    </row>
    <row r="30" ht="12.75">
      <c r="A30" s="194">
        <f>B20+B21-B23-B25</f>
        <v>-5.684341886080802E-14</v>
      </c>
    </row>
    <row r="32" spans="1:119" ht="12.75">
      <c r="A32" s="284" t="s">
        <v>215</v>
      </c>
      <c r="B32" s="282"/>
      <c r="DB32" s="173"/>
      <c r="DO32" s="173"/>
    </row>
    <row r="33" spans="1:119" ht="15.75" customHeight="1">
      <c r="A33" s="180" t="s">
        <v>9</v>
      </c>
      <c r="B33" s="283">
        <f>Исх!$C$46</f>
        <v>0.07</v>
      </c>
      <c r="C33" s="350">
        <v>2013</v>
      </c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>
        <v>2014</v>
      </c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>
        <v>2015</v>
      </c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>
        <v>2016</v>
      </c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>
        <v>2017</v>
      </c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>
        <v>2018</v>
      </c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>
        <v>2019</v>
      </c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>
        <v>2020</v>
      </c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0">
        <v>2021</v>
      </c>
      <c r="DD33" s="350"/>
      <c r="DE33" s="350"/>
      <c r="DF33" s="350"/>
      <c r="DG33" s="350"/>
      <c r="DH33" s="350"/>
      <c r="DI33" s="350"/>
      <c r="DJ33" s="350"/>
      <c r="DK33" s="350"/>
      <c r="DL33" s="350"/>
      <c r="DM33" s="350"/>
      <c r="DN33" s="350"/>
      <c r="DO33" s="350"/>
    </row>
    <row r="34" spans="1:119" s="185" customFormat="1" ht="15" customHeight="1">
      <c r="A34" s="181" t="s">
        <v>7</v>
      </c>
      <c r="B34" s="182" t="s">
        <v>80</v>
      </c>
      <c r="C34" s="183">
        <v>1</v>
      </c>
      <c r="D34" s="183">
        <v>2</v>
      </c>
      <c r="E34" s="183">
        <f aca="true" t="shared" si="98" ref="E34:N34">D34+1</f>
        <v>3</v>
      </c>
      <c r="F34" s="183">
        <f t="shared" si="98"/>
        <v>4</v>
      </c>
      <c r="G34" s="183">
        <f t="shared" si="98"/>
        <v>5</v>
      </c>
      <c r="H34" s="183">
        <f t="shared" si="98"/>
        <v>6</v>
      </c>
      <c r="I34" s="183">
        <f t="shared" si="98"/>
        <v>7</v>
      </c>
      <c r="J34" s="183">
        <f t="shared" si="98"/>
        <v>8</v>
      </c>
      <c r="K34" s="183">
        <f t="shared" si="98"/>
        <v>9</v>
      </c>
      <c r="L34" s="183">
        <f t="shared" si="98"/>
        <v>10</v>
      </c>
      <c r="M34" s="183">
        <f t="shared" si="98"/>
        <v>11</v>
      </c>
      <c r="N34" s="183">
        <f t="shared" si="98"/>
        <v>12</v>
      </c>
      <c r="O34" s="184">
        <f>O18</f>
        <v>0</v>
      </c>
      <c r="P34" s="183">
        <v>1</v>
      </c>
      <c r="Q34" s="183">
        <v>2</v>
      </c>
      <c r="R34" s="183">
        <f aca="true" t="shared" si="99" ref="R34:AA34">Q34+1</f>
        <v>3</v>
      </c>
      <c r="S34" s="183">
        <f t="shared" si="99"/>
        <v>4</v>
      </c>
      <c r="T34" s="183">
        <f t="shared" si="99"/>
        <v>5</v>
      </c>
      <c r="U34" s="183">
        <f t="shared" si="99"/>
        <v>6</v>
      </c>
      <c r="V34" s="183">
        <f t="shared" si="99"/>
        <v>7</v>
      </c>
      <c r="W34" s="183">
        <f t="shared" si="99"/>
        <v>8</v>
      </c>
      <c r="X34" s="183">
        <f t="shared" si="99"/>
        <v>9</v>
      </c>
      <c r="Y34" s="183">
        <f t="shared" si="99"/>
        <v>10</v>
      </c>
      <c r="Z34" s="183">
        <f t="shared" si="99"/>
        <v>11</v>
      </c>
      <c r="AA34" s="183">
        <f t="shared" si="99"/>
        <v>12</v>
      </c>
      <c r="AB34" s="184">
        <f>AB18</f>
        <v>0</v>
      </c>
      <c r="AC34" s="183">
        <v>1</v>
      </c>
      <c r="AD34" s="183">
        <v>2</v>
      </c>
      <c r="AE34" s="183">
        <f aca="true" t="shared" si="100" ref="AE34:AN34">AD34+1</f>
        <v>3</v>
      </c>
      <c r="AF34" s="183">
        <f t="shared" si="100"/>
        <v>4</v>
      </c>
      <c r="AG34" s="183">
        <f t="shared" si="100"/>
        <v>5</v>
      </c>
      <c r="AH34" s="183">
        <f t="shared" si="100"/>
        <v>6</v>
      </c>
      <c r="AI34" s="183">
        <f t="shared" si="100"/>
        <v>7</v>
      </c>
      <c r="AJ34" s="183">
        <f t="shared" si="100"/>
        <v>8</v>
      </c>
      <c r="AK34" s="183">
        <f t="shared" si="100"/>
        <v>9</v>
      </c>
      <c r="AL34" s="183">
        <f t="shared" si="100"/>
        <v>10</v>
      </c>
      <c r="AM34" s="183">
        <f t="shared" si="100"/>
        <v>11</v>
      </c>
      <c r="AN34" s="183">
        <f t="shared" si="100"/>
        <v>12</v>
      </c>
      <c r="AO34" s="184">
        <f>AO18</f>
        <v>0</v>
      </c>
      <c r="AP34" s="183">
        <v>1</v>
      </c>
      <c r="AQ34" s="183">
        <v>2</v>
      </c>
      <c r="AR34" s="183">
        <f aca="true" t="shared" si="101" ref="AR34:BA34">AQ34+1</f>
        <v>3</v>
      </c>
      <c r="AS34" s="183">
        <f t="shared" si="101"/>
        <v>4</v>
      </c>
      <c r="AT34" s="183">
        <f t="shared" si="101"/>
        <v>5</v>
      </c>
      <c r="AU34" s="183">
        <f t="shared" si="101"/>
        <v>6</v>
      </c>
      <c r="AV34" s="183">
        <f t="shared" si="101"/>
        <v>7</v>
      </c>
      <c r="AW34" s="183">
        <f t="shared" si="101"/>
        <v>8</v>
      </c>
      <c r="AX34" s="183">
        <f t="shared" si="101"/>
        <v>9</v>
      </c>
      <c r="AY34" s="183">
        <f t="shared" si="101"/>
        <v>10</v>
      </c>
      <c r="AZ34" s="183">
        <f t="shared" si="101"/>
        <v>11</v>
      </c>
      <c r="BA34" s="183">
        <f t="shared" si="101"/>
        <v>12</v>
      </c>
      <c r="BB34" s="184">
        <f>BB18</f>
        <v>0</v>
      </c>
      <c r="BC34" s="183">
        <v>1</v>
      </c>
      <c r="BD34" s="183">
        <v>2</v>
      </c>
      <c r="BE34" s="183">
        <f aca="true" t="shared" si="102" ref="BE34:BN34">BD34+1</f>
        <v>3</v>
      </c>
      <c r="BF34" s="183">
        <f t="shared" si="102"/>
        <v>4</v>
      </c>
      <c r="BG34" s="183">
        <f t="shared" si="102"/>
        <v>5</v>
      </c>
      <c r="BH34" s="183">
        <f t="shared" si="102"/>
        <v>6</v>
      </c>
      <c r="BI34" s="183">
        <f t="shared" si="102"/>
        <v>7</v>
      </c>
      <c r="BJ34" s="183">
        <f t="shared" si="102"/>
        <v>8</v>
      </c>
      <c r="BK34" s="183">
        <f t="shared" si="102"/>
        <v>9</v>
      </c>
      <c r="BL34" s="183">
        <f t="shared" si="102"/>
        <v>10</v>
      </c>
      <c r="BM34" s="183">
        <f t="shared" si="102"/>
        <v>11</v>
      </c>
      <c r="BN34" s="183">
        <f t="shared" si="102"/>
        <v>12</v>
      </c>
      <c r="BO34" s="184">
        <f>BO18</f>
        <v>0</v>
      </c>
      <c r="BP34" s="183">
        <v>1</v>
      </c>
      <c r="BQ34" s="183">
        <v>2</v>
      </c>
      <c r="BR34" s="183">
        <f aca="true" t="shared" si="103" ref="BR34:CA34">BQ34+1</f>
        <v>3</v>
      </c>
      <c r="BS34" s="183">
        <f t="shared" si="103"/>
        <v>4</v>
      </c>
      <c r="BT34" s="183">
        <f t="shared" si="103"/>
        <v>5</v>
      </c>
      <c r="BU34" s="183">
        <f t="shared" si="103"/>
        <v>6</v>
      </c>
      <c r="BV34" s="183">
        <f t="shared" si="103"/>
        <v>7</v>
      </c>
      <c r="BW34" s="183">
        <f t="shared" si="103"/>
        <v>8</v>
      </c>
      <c r="BX34" s="183">
        <f t="shared" si="103"/>
        <v>9</v>
      </c>
      <c r="BY34" s="183">
        <f t="shared" si="103"/>
        <v>10</v>
      </c>
      <c r="BZ34" s="183">
        <f t="shared" si="103"/>
        <v>11</v>
      </c>
      <c r="CA34" s="183">
        <f t="shared" si="103"/>
        <v>12</v>
      </c>
      <c r="CB34" s="184">
        <f>CB18</f>
        <v>0</v>
      </c>
      <c r="CC34" s="183">
        <v>1</v>
      </c>
      <c r="CD34" s="183">
        <v>2</v>
      </c>
      <c r="CE34" s="183">
        <f aca="true" t="shared" si="104" ref="CE34:CN34">CD34+1</f>
        <v>3</v>
      </c>
      <c r="CF34" s="183">
        <f t="shared" si="104"/>
        <v>4</v>
      </c>
      <c r="CG34" s="183">
        <f t="shared" si="104"/>
        <v>5</v>
      </c>
      <c r="CH34" s="183">
        <f t="shared" si="104"/>
        <v>6</v>
      </c>
      <c r="CI34" s="183">
        <f t="shared" si="104"/>
        <v>7</v>
      </c>
      <c r="CJ34" s="183">
        <f t="shared" si="104"/>
        <v>8</v>
      </c>
      <c r="CK34" s="183">
        <f t="shared" si="104"/>
        <v>9</v>
      </c>
      <c r="CL34" s="183">
        <f t="shared" si="104"/>
        <v>10</v>
      </c>
      <c r="CM34" s="183">
        <f t="shared" si="104"/>
        <v>11</v>
      </c>
      <c r="CN34" s="183">
        <f t="shared" si="104"/>
        <v>12</v>
      </c>
      <c r="CO34" s="184">
        <f>CO18</f>
        <v>0</v>
      </c>
      <c r="CP34" s="183">
        <v>1</v>
      </c>
      <c r="CQ34" s="183">
        <f aca="true" t="shared" si="105" ref="CQ34:DA34">CP34+1</f>
        <v>2</v>
      </c>
      <c r="CR34" s="183">
        <f t="shared" si="105"/>
        <v>3</v>
      </c>
      <c r="CS34" s="183">
        <f t="shared" si="105"/>
        <v>4</v>
      </c>
      <c r="CT34" s="183">
        <f t="shared" si="105"/>
        <v>5</v>
      </c>
      <c r="CU34" s="183">
        <f t="shared" si="105"/>
        <v>6</v>
      </c>
      <c r="CV34" s="183">
        <f t="shared" si="105"/>
        <v>7</v>
      </c>
      <c r="CW34" s="183">
        <f t="shared" si="105"/>
        <v>8</v>
      </c>
      <c r="CX34" s="183">
        <f t="shared" si="105"/>
        <v>9</v>
      </c>
      <c r="CY34" s="183">
        <f t="shared" si="105"/>
        <v>10</v>
      </c>
      <c r="CZ34" s="183">
        <f t="shared" si="105"/>
        <v>11</v>
      </c>
      <c r="DA34" s="183">
        <f t="shared" si="105"/>
        <v>12</v>
      </c>
      <c r="DB34" s="184">
        <f>DB18</f>
        <v>0</v>
      </c>
      <c r="DC34" s="183">
        <v>1</v>
      </c>
      <c r="DD34" s="183">
        <f aca="true" t="shared" si="106" ref="DD34:DN34">DC34+1</f>
        <v>2</v>
      </c>
      <c r="DE34" s="183">
        <f t="shared" si="106"/>
        <v>3</v>
      </c>
      <c r="DF34" s="183">
        <f t="shared" si="106"/>
        <v>4</v>
      </c>
      <c r="DG34" s="183">
        <f t="shared" si="106"/>
        <v>5</v>
      </c>
      <c r="DH34" s="183">
        <f t="shared" si="106"/>
        <v>6</v>
      </c>
      <c r="DI34" s="183">
        <f t="shared" si="106"/>
        <v>7</v>
      </c>
      <c r="DJ34" s="183">
        <f t="shared" si="106"/>
        <v>8</v>
      </c>
      <c r="DK34" s="183">
        <f t="shared" si="106"/>
        <v>9</v>
      </c>
      <c r="DL34" s="183">
        <f t="shared" si="106"/>
        <v>10</v>
      </c>
      <c r="DM34" s="183">
        <f t="shared" si="106"/>
        <v>11</v>
      </c>
      <c r="DN34" s="183">
        <f t="shared" si="106"/>
        <v>12</v>
      </c>
      <c r="DO34" s="184" t="s">
        <v>0</v>
      </c>
    </row>
    <row r="35" spans="1:119" ht="12.75">
      <c r="A35" s="181" t="s">
        <v>98</v>
      </c>
      <c r="B35" s="186">
        <f>O35+AB35+AO35+BB35+BO35+CB35+CO35+DB35+DO35</f>
        <v>2467.125</v>
      </c>
      <c r="C35" s="187"/>
      <c r="D35" s="187"/>
      <c r="E35" s="187"/>
      <c r="F35" s="187"/>
      <c r="G35" s="187"/>
      <c r="H35" s="187"/>
      <c r="I35" s="187"/>
      <c r="J35" s="187"/>
      <c r="K35" s="187">
        <f>'1-Ф3'!L$33</f>
        <v>2467.125</v>
      </c>
      <c r="L35" s="187"/>
      <c r="M35" s="187"/>
      <c r="N35" s="187"/>
      <c r="O35" s="188">
        <f>SUM(C35:N35)</f>
        <v>2467.125</v>
      </c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>
        <f>SUM(P35:AA35)</f>
        <v>0</v>
      </c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>
        <f>SUM(AC35:AN35)</f>
        <v>0</v>
      </c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</row>
    <row r="36" spans="1:119" s="190" customFormat="1" ht="20.25" customHeight="1">
      <c r="A36" s="181" t="s">
        <v>27</v>
      </c>
      <c r="B36" s="186">
        <f>O36+AB36+AO36+BB36+BO36+CB36+CO36+DB36+DO36</f>
        <v>86.34937500000001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8">
        <f>SUM(C36:N36)</f>
        <v>0</v>
      </c>
      <c r="P36" s="187"/>
      <c r="Q36" s="187"/>
      <c r="R36" s="187">
        <f>SUM(O37:R37)</f>
        <v>86.34937500000001</v>
      </c>
      <c r="S36" s="187"/>
      <c r="T36" s="187"/>
      <c r="U36" s="187"/>
      <c r="V36" s="187"/>
      <c r="W36" s="187"/>
      <c r="X36" s="187"/>
      <c r="Y36" s="187"/>
      <c r="Z36" s="187"/>
      <c r="AA36" s="187"/>
      <c r="AB36" s="188">
        <f>SUM(P36:AA36)</f>
        <v>86.34937500000001</v>
      </c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8">
        <f>SUM(AC36:AN36)</f>
        <v>0</v>
      </c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8">
        <f>SUM(AP36:BA36)</f>
        <v>0</v>
      </c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8">
        <f>SUM(BC36:BN36)</f>
        <v>0</v>
      </c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>
        <f>SUM(BP36:CA36)</f>
        <v>0</v>
      </c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8">
        <f>SUM(CC36:CN36)</f>
        <v>0</v>
      </c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8">
        <f>SUM(CP36:DA36)</f>
        <v>0</v>
      </c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8">
        <f>SUM(DC36:DN36)</f>
        <v>0</v>
      </c>
    </row>
    <row r="37" spans="1:119" s="190" customFormat="1" ht="12.75">
      <c r="A37" s="191" t="s">
        <v>10</v>
      </c>
      <c r="B37" s="186">
        <f>O37+AB37+AO37+BB37+BO37+CB37+CO37+DB37+DO37</f>
        <v>756.7090855926208</v>
      </c>
      <c r="C37" s="187"/>
      <c r="D37" s="187">
        <f aca="true" t="shared" si="107" ref="D37:N37">C40*$B33/12</f>
        <v>0</v>
      </c>
      <c r="E37" s="187">
        <f t="shared" si="107"/>
        <v>0</v>
      </c>
      <c r="F37" s="187">
        <f t="shared" si="107"/>
        <v>0</v>
      </c>
      <c r="G37" s="187">
        <f t="shared" si="107"/>
        <v>0</v>
      </c>
      <c r="H37" s="187">
        <f t="shared" si="107"/>
        <v>0</v>
      </c>
      <c r="I37" s="187">
        <f t="shared" si="107"/>
        <v>0</v>
      </c>
      <c r="J37" s="187">
        <f t="shared" si="107"/>
        <v>0</v>
      </c>
      <c r="K37" s="187">
        <f t="shared" si="107"/>
        <v>0</v>
      </c>
      <c r="L37" s="187">
        <f t="shared" si="107"/>
        <v>14.391562500000001</v>
      </c>
      <c r="M37" s="187">
        <f t="shared" si="107"/>
        <v>14.391562500000001</v>
      </c>
      <c r="N37" s="187">
        <f t="shared" si="107"/>
        <v>14.391562500000001</v>
      </c>
      <c r="O37" s="188">
        <f>SUM(C37:N37)</f>
        <v>43.174687500000005</v>
      </c>
      <c r="P37" s="187">
        <f aca="true" t="shared" si="108" ref="P37:AA37">O40*$B33/12</f>
        <v>14.391562500000001</v>
      </c>
      <c r="Q37" s="187">
        <f t="shared" si="108"/>
        <v>14.391562500000001</v>
      </c>
      <c r="R37" s="187">
        <f t="shared" si="108"/>
        <v>14.391562500000001</v>
      </c>
      <c r="S37" s="187">
        <f t="shared" si="108"/>
        <v>14.895267187500002</v>
      </c>
      <c r="T37" s="187">
        <f t="shared" si="108"/>
        <v>14.895267187500002</v>
      </c>
      <c r="U37" s="187">
        <f t="shared" si="108"/>
        <v>14.895267187500002</v>
      </c>
      <c r="V37" s="187">
        <f t="shared" si="108"/>
        <v>14.895267187500002</v>
      </c>
      <c r="W37" s="187">
        <f t="shared" si="108"/>
        <v>14.895267187500002</v>
      </c>
      <c r="X37" s="187">
        <f t="shared" si="108"/>
        <v>14.895267187500002</v>
      </c>
      <c r="Y37" s="187">
        <f t="shared" si="108"/>
        <v>14.895267187500002</v>
      </c>
      <c r="Z37" s="187">
        <f t="shared" si="108"/>
        <v>14.728206739412345</v>
      </c>
      <c r="AA37" s="187">
        <f t="shared" si="108"/>
        <v>14.56017177204418</v>
      </c>
      <c r="AB37" s="188">
        <f>SUM(P37:AA37)</f>
        <v>176.72993632395654</v>
      </c>
      <c r="AC37" s="187">
        <f aca="true" t="shared" si="109" ref="AC37:AN37">AB40*$B33/12</f>
        <v>14.391156600699702</v>
      </c>
      <c r="AD37" s="187">
        <f t="shared" si="109"/>
        <v>14.221155507522381</v>
      </c>
      <c r="AE37" s="187">
        <f t="shared" si="109"/>
        <v>14.050162741301525</v>
      </c>
      <c r="AF37" s="187">
        <f t="shared" si="109"/>
        <v>13.878172517277713</v>
      </c>
      <c r="AG37" s="187">
        <f t="shared" si="109"/>
        <v>13.705179016947099</v>
      </c>
      <c r="AH37" s="187">
        <f t="shared" si="109"/>
        <v>13.531176387864553</v>
      </c>
      <c r="AI37" s="187">
        <f t="shared" si="109"/>
        <v>13.356158743445691</v>
      </c>
      <c r="AJ37" s="187">
        <f t="shared" si="109"/>
        <v>13.180120162767723</v>
      </c>
      <c r="AK37" s="187">
        <f t="shared" si="109"/>
        <v>13.003054690369131</v>
      </c>
      <c r="AL37" s="187">
        <f t="shared" si="109"/>
        <v>12.824956336048212</v>
      </c>
      <c r="AM37" s="187">
        <f t="shared" si="109"/>
        <v>12.645819074660423</v>
      </c>
      <c r="AN37" s="187">
        <f t="shared" si="109"/>
        <v>12.46563684591454</v>
      </c>
      <c r="AO37" s="188">
        <f>SUM(AC37:AN37)</f>
        <v>161.25274862481868</v>
      </c>
      <c r="AP37" s="187">
        <f aca="true" t="shared" si="110" ref="AP37:BA37">AO40*$B33/12</f>
        <v>12.284403554167637</v>
      </c>
      <c r="AQ37" s="187">
        <f t="shared" si="110"/>
        <v>12.102113068218879</v>
      </c>
      <c r="AR37" s="187">
        <f t="shared" si="110"/>
        <v>11.918759221102086</v>
      </c>
      <c r="AS37" s="187">
        <f t="shared" si="110"/>
        <v>11.734335809877111</v>
      </c>
      <c r="AT37" s="187">
        <f t="shared" si="110"/>
        <v>11.548836595419992</v>
      </c>
      <c r="AU37" s="187">
        <f t="shared" si="110"/>
        <v>11.36225530221187</v>
      </c>
      <c r="AV37" s="187">
        <f t="shared" si="110"/>
        <v>11.174585618126704</v>
      </c>
      <c r="AW37" s="187">
        <f t="shared" si="110"/>
        <v>10.985821194217706</v>
      </c>
      <c r="AX37" s="187">
        <f t="shared" si="110"/>
        <v>10.795955644502572</v>
      </c>
      <c r="AY37" s="187">
        <f t="shared" si="110"/>
        <v>10.604982545747434</v>
      </c>
      <c r="AZ37" s="187">
        <f t="shared" si="110"/>
        <v>10.412895437249558</v>
      </c>
      <c r="BA37" s="187">
        <f t="shared" si="110"/>
        <v>10.219687820618777</v>
      </c>
      <c r="BB37" s="188">
        <f>SUM(AP37:BA37)</f>
        <v>135.14463181146033</v>
      </c>
      <c r="BC37" s="187">
        <f aca="true" t="shared" si="111" ref="BC37:BN37">BB40*$B33/12</f>
        <v>10.02535315955765</v>
      </c>
      <c r="BD37" s="187">
        <f t="shared" si="111"/>
        <v>9.829884879640332</v>
      </c>
      <c r="BE37" s="187">
        <f t="shared" si="111"/>
        <v>9.633276368090163</v>
      </c>
      <c r="BF37" s="187">
        <f t="shared" si="111"/>
        <v>9.435520973555953</v>
      </c>
      <c r="BG37" s="187">
        <f t="shared" si="111"/>
        <v>9.23661200588696</v>
      </c>
      <c r="BH37" s="187">
        <f t="shared" si="111"/>
        <v>9.036542735906563</v>
      </c>
      <c r="BI37" s="187">
        <f t="shared" si="111"/>
        <v>8.835306395184615</v>
      </c>
      <c r="BJ37" s="187">
        <f t="shared" si="111"/>
        <v>8.632896175808455</v>
      </c>
      <c r="BK37" s="187">
        <f t="shared" si="111"/>
        <v>8.4293052301526</v>
      </c>
      <c r="BL37" s="187">
        <f t="shared" si="111"/>
        <v>8.224526670647087</v>
      </c>
      <c r="BM37" s="187">
        <f t="shared" si="111"/>
        <v>8.01855356954446</v>
      </c>
      <c r="BN37" s="187">
        <f t="shared" si="111"/>
        <v>7.811378958685398</v>
      </c>
      <c r="BO37" s="188">
        <f>SUM(BC37:BN37)</f>
        <v>107.14915712266024</v>
      </c>
      <c r="BP37" s="187">
        <f aca="true" t="shared" si="112" ref="BP37:CA37">BO40*$B33/12</f>
        <v>7.602995829262993</v>
      </c>
      <c r="BQ37" s="187">
        <f t="shared" si="112"/>
        <v>7.3933971315856235</v>
      </c>
      <c r="BR37" s="187">
        <f t="shared" si="112"/>
        <v>7.18257577483847</v>
      </c>
      <c r="BS37" s="187">
        <f t="shared" si="112"/>
        <v>6.970524626843623</v>
      </c>
      <c r="BT37" s="187">
        <f t="shared" si="112"/>
        <v>6.757236513818808</v>
      </c>
      <c r="BU37" s="187">
        <f t="shared" si="112"/>
        <v>6.542704220134682</v>
      </c>
      <c r="BV37" s="187">
        <f t="shared" si="112"/>
        <v>6.32692048807073</v>
      </c>
      <c r="BW37" s="187">
        <f t="shared" si="112"/>
        <v>6.109878017569739</v>
      </c>
      <c r="BX37" s="187">
        <f t="shared" si="112"/>
        <v>5.891569465990824</v>
      </c>
      <c r="BY37" s="187">
        <f t="shared" si="112"/>
        <v>5.671987447861035</v>
      </c>
      <c r="BZ37" s="187">
        <f t="shared" si="112"/>
        <v>5.451124534625488</v>
      </c>
      <c r="CA37" s="187">
        <f t="shared" si="112"/>
        <v>5.228973254396066</v>
      </c>
      <c r="CB37" s="188">
        <f>SUM(BP37:CA37)</f>
        <v>77.12988730499809</v>
      </c>
      <c r="CC37" s="187">
        <f aca="true" t="shared" si="113" ref="CC37:CN37">CB40*$B33/12</f>
        <v>5.0055260916986395</v>
      </c>
      <c r="CD37" s="187">
        <f t="shared" si="113"/>
        <v>4.780775487218812</v>
      </c>
      <c r="CE37" s="187">
        <f t="shared" si="113"/>
        <v>4.554713837546184</v>
      </c>
      <c r="CF37" s="187">
        <f t="shared" si="113"/>
        <v>4.327333494917133</v>
      </c>
      <c r="CG37" s="187">
        <f t="shared" si="113"/>
        <v>4.09862676695608</v>
      </c>
      <c r="CH37" s="187">
        <f t="shared" si="113"/>
        <v>3.868585916415254</v>
      </c>
      <c r="CI37" s="187">
        <f t="shared" si="113"/>
        <v>3.637203160912939</v>
      </c>
      <c r="CJ37" s="187">
        <f t="shared" si="113"/>
        <v>3.4044706726701937</v>
      </c>
      <c r="CK37" s="187">
        <f t="shared" si="113"/>
        <v>3.1703805782460326</v>
      </c>
      <c r="CL37" s="187">
        <f t="shared" si="113"/>
        <v>2.934924958271065</v>
      </c>
      <c r="CM37" s="187">
        <f t="shared" si="113"/>
        <v>2.6980958471795753</v>
      </c>
      <c r="CN37" s="187">
        <f t="shared" si="113"/>
        <v>2.459885232940053</v>
      </c>
      <c r="CO37" s="188">
        <f>SUM(CC37:CN37)</f>
        <v>44.94052204497196</v>
      </c>
      <c r="CP37" s="187">
        <f aca="true" t="shared" si="114" ref="CP37:DA37">CO40*$B33/12</f>
        <v>2.220285056784133</v>
      </c>
      <c r="CQ37" s="187">
        <f t="shared" si="114"/>
        <v>1.9792872129339703</v>
      </c>
      <c r="CR37" s="187">
        <f t="shared" si="114"/>
        <v>1.7368835483280147</v>
      </c>
      <c r="CS37" s="187">
        <f t="shared" si="114"/>
        <v>1.4930658623451913</v>
      </c>
      <c r="CT37" s="187">
        <f t="shared" si="114"/>
        <v>1.2478259065274682</v>
      </c>
      <c r="CU37" s="187">
        <f t="shared" si="114"/>
        <v>1.001155384300808</v>
      </c>
      <c r="CV37" s="187">
        <f t="shared" si="114"/>
        <v>0.7530459506944923</v>
      </c>
      <c r="CW37" s="187">
        <f t="shared" si="114"/>
        <v>0.5034892120588067</v>
      </c>
      <c r="CX37" s="187">
        <f t="shared" si="114"/>
        <v>0.2524767257810795</v>
      </c>
      <c r="CY37" s="187">
        <f t="shared" si="114"/>
        <v>6.557125213172791E-14</v>
      </c>
      <c r="CZ37" s="187">
        <f t="shared" si="114"/>
        <v>6.557125213172791E-14</v>
      </c>
      <c r="DA37" s="187">
        <f t="shared" si="114"/>
        <v>6.557125213172791E-14</v>
      </c>
      <c r="DB37" s="188">
        <f>SUM(CP37:DA37)</f>
        <v>11.187514859754161</v>
      </c>
      <c r="DC37" s="187">
        <f aca="true" t="shared" si="115" ref="DC37:DN37">DB40*$B33/12</f>
        <v>6.557125213172791E-14</v>
      </c>
      <c r="DD37" s="187">
        <f t="shared" si="115"/>
        <v>6.557125213172791E-14</v>
      </c>
      <c r="DE37" s="187">
        <f t="shared" si="115"/>
        <v>6.557125213172791E-14</v>
      </c>
      <c r="DF37" s="187">
        <f t="shared" si="115"/>
        <v>6.557125213172791E-14</v>
      </c>
      <c r="DG37" s="187">
        <f t="shared" si="115"/>
        <v>6.557125213172791E-14</v>
      </c>
      <c r="DH37" s="187">
        <f t="shared" si="115"/>
        <v>6.557125213172791E-14</v>
      </c>
      <c r="DI37" s="187">
        <f t="shared" si="115"/>
        <v>6.557125213172791E-14</v>
      </c>
      <c r="DJ37" s="187">
        <f t="shared" si="115"/>
        <v>6.557125213172791E-14</v>
      </c>
      <c r="DK37" s="187">
        <f t="shared" si="115"/>
        <v>6.557125213172791E-14</v>
      </c>
      <c r="DL37" s="187">
        <f t="shared" si="115"/>
        <v>6.557125213172791E-14</v>
      </c>
      <c r="DM37" s="187">
        <f t="shared" si="115"/>
        <v>6.557125213172791E-14</v>
      </c>
      <c r="DN37" s="187">
        <f t="shared" si="115"/>
        <v>6.557125213172791E-14</v>
      </c>
      <c r="DO37" s="188">
        <f>SUM(DC37:DN37)</f>
        <v>7.868550255807351E-13</v>
      </c>
    </row>
    <row r="38" spans="1:119" ht="12.75">
      <c r="A38" s="181" t="s">
        <v>11</v>
      </c>
      <c r="B38" s="186">
        <f>O38+AB38+AO38+BB38+BO38+CB38+CO38+DB38+DO38</f>
        <v>2553.47437499999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92"/>
      <c r="M38" s="192"/>
      <c r="N38" s="192"/>
      <c r="O38" s="188">
        <f>SUM(C38:N38)</f>
        <v>0</v>
      </c>
      <c r="P38" s="192"/>
      <c r="Q38" s="192"/>
      <c r="R38" s="192"/>
      <c r="S38" s="192"/>
      <c r="T38" s="192"/>
      <c r="U38" s="192"/>
      <c r="V38" s="192"/>
      <c r="W38" s="192"/>
      <c r="X38" s="192"/>
      <c r="Y38" s="187">
        <f>$B42-Y37</f>
        <v>28.63893395788346</v>
      </c>
      <c r="Z38" s="187">
        <f>$B42-Z37</f>
        <v>28.80599440597112</v>
      </c>
      <c r="AA38" s="187">
        <f>$B42-AA37</f>
        <v>28.974029373339285</v>
      </c>
      <c r="AB38" s="188">
        <f>SUM(P38:AA38)</f>
        <v>86.41895773719386</v>
      </c>
      <c r="AC38" s="187">
        <f>$B42-AC37</f>
        <v>29.14304454468376</v>
      </c>
      <c r="AD38" s="187">
        <f>$B42-AD37</f>
        <v>29.31304563786108</v>
      </c>
      <c r="AE38" s="187">
        <f>$B42-AE37</f>
        <v>29.484038404081936</v>
      </c>
      <c r="AF38" s="187">
        <f>$B42-AF37</f>
        <v>29.65602862810575</v>
      </c>
      <c r="AG38" s="187">
        <f aca="true" t="shared" si="116" ref="AG38:AN38">$B42-AG37</f>
        <v>29.829022128436364</v>
      </c>
      <c r="AH38" s="187">
        <f t="shared" si="116"/>
        <v>30.003024757518908</v>
      </c>
      <c r="AI38" s="187">
        <f t="shared" si="116"/>
        <v>30.178042401937773</v>
      </c>
      <c r="AJ38" s="187">
        <f t="shared" si="116"/>
        <v>30.35408098261574</v>
      </c>
      <c r="AK38" s="187">
        <f t="shared" si="116"/>
        <v>30.53114645501433</v>
      </c>
      <c r="AL38" s="187">
        <f t="shared" si="116"/>
        <v>30.709244809335253</v>
      </c>
      <c r="AM38" s="187">
        <f t="shared" si="116"/>
        <v>30.88838207072304</v>
      </c>
      <c r="AN38" s="187">
        <f t="shared" si="116"/>
        <v>31.068564299468925</v>
      </c>
      <c r="AO38" s="188">
        <f>SUM(AC38:AN38)</f>
        <v>361.15766511978285</v>
      </c>
      <c r="AP38" s="187">
        <f aca="true" t="shared" si="117" ref="AP38:BA38">$B42-AP37</f>
        <v>31.249797591215824</v>
      </c>
      <c r="AQ38" s="187">
        <f t="shared" si="117"/>
        <v>31.432088077164586</v>
      </c>
      <c r="AR38" s="187">
        <f t="shared" si="117"/>
        <v>31.615441924281377</v>
      </c>
      <c r="AS38" s="187">
        <f t="shared" si="117"/>
        <v>31.799865335506354</v>
      </c>
      <c r="AT38" s="187">
        <f t="shared" si="117"/>
        <v>31.98536454996347</v>
      </c>
      <c r="AU38" s="187">
        <f t="shared" si="117"/>
        <v>32.17194584317159</v>
      </c>
      <c r="AV38" s="187">
        <f t="shared" si="117"/>
        <v>32.35961552725676</v>
      </c>
      <c r="AW38" s="187">
        <f t="shared" si="117"/>
        <v>32.54837995116576</v>
      </c>
      <c r="AX38" s="187">
        <f t="shared" si="117"/>
        <v>32.73824550088089</v>
      </c>
      <c r="AY38" s="187">
        <f t="shared" si="117"/>
        <v>32.92921859963603</v>
      </c>
      <c r="AZ38" s="187">
        <f t="shared" si="117"/>
        <v>33.1213057081339</v>
      </c>
      <c r="BA38" s="187">
        <f t="shared" si="117"/>
        <v>33.31451332476469</v>
      </c>
      <c r="BB38" s="188">
        <f>SUM(AP38:BA38)</f>
        <v>387.2657819331412</v>
      </c>
      <c r="BC38" s="187">
        <f aca="true" t="shared" si="118" ref="BC38:BN38">$B42-BC37</f>
        <v>33.50884798582581</v>
      </c>
      <c r="BD38" s="187">
        <f t="shared" si="118"/>
        <v>33.70431626574313</v>
      </c>
      <c r="BE38" s="187">
        <f t="shared" si="118"/>
        <v>33.9009247772933</v>
      </c>
      <c r="BF38" s="187">
        <f t="shared" si="118"/>
        <v>34.09868017182751</v>
      </c>
      <c r="BG38" s="187">
        <f t="shared" si="118"/>
        <v>34.2975891394965</v>
      </c>
      <c r="BH38" s="187">
        <f t="shared" si="118"/>
        <v>34.4976584094769</v>
      </c>
      <c r="BI38" s="187">
        <f t="shared" si="118"/>
        <v>34.698894750198846</v>
      </c>
      <c r="BJ38" s="187">
        <f t="shared" si="118"/>
        <v>34.90130496957501</v>
      </c>
      <c r="BK38" s="187">
        <f t="shared" si="118"/>
        <v>35.10489591523086</v>
      </c>
      <c r="BL38" s="187">
        <f t="shared" si="118"/>
        <v>35.309674474736376</v>
      </c>
      <c r="BM38" s="187">
        <f t="shared" si="118"/>
        <v>35.515647575839004</v>
      </c>
      <c r="BN38" s="187">
        <f t="shared" si="118"/>
        <v>35.72282218669807</v>
      </c>
      <c r="BO38" s="188">
        <f>SUM(BC38:BN38)</f>
        <v>415.26125662194136</v>
      </c>
      <c r="BP38" s="187">
        <f aca="true" t="shared" si="119" ref="BP38:CA38">$B42-BP37</f>
        <v>35.93120531612047</v>
      </c>
      <c r="BQ38" s="187">
        <f t="shared" si="119"/>
        <v>36.14080401379784</v>
      </c>
      <c r="BR38" s="187">
        <f t="shared" si="119"/>
        <v>36.351625370544994</v>
      </c>
      <c r="BS38" s="187">
        <f t="shared" si="119"/>
        <v>36.563676518539836</v>
      </c>
      <c r="BT38" s="187">
        <f t="shared" si="119"/>
        <v>36.77696463156465</v>
      </c>
      <c r="BU38" s="187">
        <f t="shared" si="119"/>
        <v>36.99149692524878</v>
      </c>
      <c r="BV38" s="187">
        <f t="shared" si="119"/>
        <v>37.20728065731274</v>
      </c>
      <c r="BW38" s="187">
        <f t="shared" si="119"/>
        <v>37.42432312781372</v>
      </c>
      <c r="BX38" s="187">
        <f t="shared" si="119"/>
        <v>37.642631679392636</v>
      </c>
      <c r="BY38" s="187">
        <f t="shared" si="119"/>
        <v>37.86221369752243</v>
      </c>
      <c r="BZ38" s="187">
        <f t="shared" si="119"/>
        <v>38.08307661075798</v>
      </c>
      <c r="CA38" s="187">
        <f t="shared" si="119"/>
        <v>38.305227890987396</v>
      </c>
      <c r="CB38" s="188">
        <f>SUM(BP38:CA38)</f>
        <v>445.2805264396035</v>
      </c>
      <c r="CC38" s="187">
        <f aca="true" t="shared" si="120" ref="CC38:CN38">$B42-CC37</f>
        <v>38.52867505368482</v>
      </c>
      <c r="CD38" s="187">
        <f t="shared" si="120"/>
        <v>38.75342565816465</v>
      </c>
      <c r="CE38" s="187">
        <f t="shared" si="120"/>
        <v>38.97948730783728</v>
      </c>
      <c r="CF38" s="187">
        <f t="shared" si="120"/>
        <v>39.20686765046633</v>
      </c>
      <c r="CG38" s="187">
        <f t="shared" si="120"/>
        <v>39.43557437842738</v>
      </c>
      <c r="CH38" s="187">
        <f t="shared" si="120"/>
        <v>39.66561522896821</v>
      </c>
      <c r="CI38" s="187">
        <f t="shared" si="120"/>
        <v>39.896997984470524</v>
      </c>
      <c r="CJ38" s="187">
        <f t="shared" si="120"/>
        <v>40.12973047271327</v>
      </c>
      <c r="CK38" s="187">
        <f t="shared" si="120"/>
        <v>40.36382056713743</v>
      </c>
      <c r="CL38" s="187">
        <f t="shared" si="120"/>
        <v>40.599276187112395</v>
      </c>
      <c r="CM38" s="187">
        <f t="shared" si="120"/>
        <v>40.83610529820389</v>
      </c>
      <c r="CN38" s="187">
        <f t="shared" si="120"/>
        <v>41.07431591244341</v>
      </c>
      <c r="CO38" s="188">
        <f>SUM(CC38:CN38)</f>
        <v>477.46989169962967</v>
      </c>
      <c r="CP38" s="187">
        <f aca="true" t="shared" si="121" ref="CP38:CX38">$B42-CP37</f>
        <v>41.31391608859933</v>
      </c>
      <c r="CQ38" s="187">
        <f t="shared" si="121"/>
        <v>41.554913932449494</v>
      </c>
      <c r="CR38" s="187">
        <f t="shared" si="121"/>
        <v>41.79731759705545</v>
      </c>
      <c r="CS38" s="187">
        <f t="shared" si="121"/>
        <v>42.04113528303827</v>
      </c>
      <c r="CT38" s="187">
        <f t="shared" si="121"/>
        <v>42.286375238855996</v>
      </c>
      <c r="CU38" s="187">
        <f t="shared" si="121"/>
        <v>42.533045761082654</v>
      </c>
      <c r="CV38" s="187">
        <f t="shared" si="121"/>
        <v>42.78115519468897</v>
      </c>
      <c r="CW38" s="187">
        <f t="shared" si="121"/>
        <v>43.03071193332465</v>
      </c>
      <c r="CX38" s="187">
        <f t="shared" si="121"/>
        <v>43.281724419602384</v>
      </c>
      <c r="CY38" s="187"/>
      <c r="CZ38" s="187"/>
      <c r="DA38" s="187"/>
      <c r="DB38" s="188">
        <f>SUM(CP38:DA38)</f>
        <v>380.6202954486972</v>
      </c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8">
        <f>SUM(DC38:DN38)</f>
        <v>0</v>
      </c>
    </row>
    <row r="39" spans="1:119" ht="12.75">
      <c r="A39" s="181" t="s">
        <v>12</v>
      </c>
      <c r="B39" s="186">
        <f>O39+AB39+AO39+BB39+BO39+CB39+CO39+DB39+DO39</f>
        <v>670.3597105926208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92"/>
      <c r="M39" s="192"/>
      <c r="N39" s="192"/>
      <c r="O39" s="188">
        <f>SUM(C39:N39)</f>
        <v>0</v>
      </c>
      <c r="P39" s="192"/>
      <c r="Q39" s="192"/>
      <c r="R39" s="192"/>
      <c r="S39" s="187">
        <f aca="true" t="shared" si="122" ref="S39:AA39">S37</f>
        <v>14.895267187500002</v>
      </c>
      <c r="T39" s="187">
        <f t="shared" si="122"/>
        <v>14.895267187500002</v>
      </c>
      <c r="U39" s="187">
        <f t="shared" si="122"/>
        <v>14.895267187500002</v>
      </c>
      <c r="V39" s="187">
        <f t="shared" si="122"/>
        <v>14.895267187500002</v>
      </c>
      <c r="W39" s="187">
        <f t="shared" si="122"/>
        <v>14.895267187500002</v>
      </c>
      <c r="X39" s="187">
        <f t="shared" si="122"/>
        <v>14.895267187500002</v>
      </c>
      <c r="Y39" s="187">
        <f t="shared" si="122"/>
        <v>14.895267187500002</v>
      </c>
      <c r="Z39" s="187">
        <f t="shared" si="122"/>
        <v>14.728206739412345</v>
      </c>
      <c r="AA39" s="187">
        <f t="shared" si="122"/>
        <v>14.56017177204418</v>
      </c>
      <c r="AB39" s="188">
        <f>SUM(P39:AA39)</f>
        <v>133.55524882395653</v>
      </c>
      <c r="AC39" s="187">
        <f aca="true" t="shared" si="123" ref="AC39:AK39">AC37</f>
        <v>14.391156600699702</v>
      </c>
      <c r="AD39" s="187">
        <f t="shared" si="123"/>
        <v>14.221155507522381</v>
      </c>
      <c r="AE39" s="187">
        <f t="shared" si="123"/>
        <v>14.050162741301525</v>
      </c>
      <c r="AF39" s="187">
        <f t="shared" si="123"/>
        <v>13.878172517277713</v>
      </c>
      <c r="AG39" s="187">
        <f t="shared" si="123"/>
        <v>13.705179016947099</v>
      </c>
      <c r="AH39" s="187">
        <f t="shared" si="123"/>
        <v>13.531176387864553</v>
      </c>
      <c r="AI39" s="187">
        <f t="shared" si="123"/>
        <v>13.356158743445691</v>
      </c>
      <c r="AJ39" s="187">
        <f t="shared" si="123"/>
        <v>13.180120162767723</v>
      </c>
      <c r="AK39" s="187">
        <f t="shared" si="123"/>
        <v>13.003054690369131</v>
      </c>
      <c r="AL39" s="187">
        <f>AL37</f>
        <v>12.824956336048212</v>
      </c>
      <c r="AM39" s="187">
        <f>AM37</f>
        <v>12.645819074660423</v>
      </c>
      <c r="AN39" s="187">
        <f>AN37</f>
        <v>12.46563684591454</v>
      </c>
      <c r="AO39" s="188">
        <f>SUM(AC39:AN39)</f>
        <v>161.25274862481868</v>
      </c>
      <c r="AP39" s="187">
        <f aca="true" t="shared" si="124" ref="AP39:BA39">AP37</f>
        <v>12.284403554167637</v>
      </c>
      <c r="AQ39" s="187">
        <f t="shared" si="124"/>
        <v>12.102113068218879</v>
      </c>
      <c r="AR39" s="187">
        <f t="shared" si="124"/>
        <v>11.918759221102086</v>
      </c>
      <c r="AS39" s="187">
        <f t="shared" si="124"/>
        <v>11.734335809877111</v>
      </c>
      <c r="AT39" s="187">
        <f t="shared" si="124"/>
        <v>11.548836595419992</v>
      </c>
      <c r="AU39" s="187">
        <f t="shared" si="124"/>
        <v>11.36225530221187</v>
      </c>
      <c r="AV39" s="187">
        <f t="shared" si="124"/>
        <v>11.174585618126704</v>
      </c>
      <c r="AW39" s="187">
        <f t="shared" si="124"/>
        <v>10.985821194217706</v>
      </c>
      <c r="AX39" s="187">
        <f t="shared" si="124"/>
        <v>10.795955644502572</v>
      </c>
      <c r="AY39" s="187">
        <f t="shared" si="124"/>
        <v>10.604982545747434</v>
      </c>
      <c r="AZ39" s="187">
        <f t="shared" si="124"/>
        <v>10.412895437249558</v>
      </c>
      <c r="BA39" s="187">
        <f t="shared" si="124"/>
        <v>10.219687820618777</v>
      </c>
      <c r="BB39" s="188">
        <f>SUM(AP39:BA39)</f>
        <v>135.14463181146033</v>
      </c>
      <c r="BC39" s="187">
        <f aca="true" t="shared" si="125" ref="BC39:BN39">BC37</f>
        <v>10.02535315955765</v>
      </c>
      <c r="BD39" s="187">
        <f t="shared" si="125"/>
        <v>9.829884879640332</v>
      </c>
      <c r="BE39" s="187">
        <f t="shared" si="125"/>
        <v>9.633276368090163</v>
      </c>
      <c r="BF39" s="187">
        <f t="shared" si="125"/>
        <v>9.435520973555953</v>
      </c>
      <c r="BG39" s="187">
        <f t="shared" si="125"/>
        <v>9.23661200588696</v>
      </c>
      <c r="BH39" s="187">
        <f t="shared" si="125"/>
        <v>9.036542735906563</v>
      </c>
      <c r="BI39" s="187">
        <f t="shared" si="125"/>
        <v>8.835306395184615</v>
      </c>
      <c r="BJ39" s="187">
        <f t="shared" si="125"/>
        <v>8.632896175808455</v>
      </c>
      <c r="BK39" s="187">
        <f t="shared" si="125"/>
        <v>8.4293052301526</v>
      </c>
      <c r="BL39" s="187">
        <f t="shared" si="125"/>
        <v>8.224526670647087</v>
      </c>
      <c r="BM39" s="187">
        <f t="shared" si="125"/>
        <v>8.01855356954446</v>
      </c>
      <c r="BN39" s="187">
        <f t="shared" si="125"/>
        <v>7.811378958685398</v>
      </c>
      <c r="BO39" s="188">
        <f>SUM(BC39:BN39)</f>
        <v>107.14915712266024</v>
      </c>
      <c r="BP39" s="187">
        <f aca="true" t="shared" si="126" ref="BP39:CA39">BP37</f>
        <v>7.602995829262993</v>
      </c>
      <c r="BQ39" s="187">
        <f t="shared" si="126"/>
        <v>7.3933971315856235</v>
      </c>
      <c r="BR39" s="187">
        <f t="shared" si="126"/>
        <v>7.18257577483847</v>
      </c>
      <c r="BS39" s="187">
        <f t="shared" si="126"/>
        <v>6.970524626843623</v>
      </c>
      <c r="BT39" s="187">
        <f t="shared" si="126"/>
        <v>6.757236513818808</v>
      </c>
      <c r="BU39" s="187">
        <f t="shared" si="126"/>
        <v>6.542704220134682</v>
      </c>
      <c r="BV39" s="187">
        <f t="shared" si="126"/>
        <v>6.32692048807073</v>
      </c>
      <c r="BW39" s="187">
        <f t="shared" si="126"/>
        <v>6.109878017569739</v>
      </c>
      <c r="BX39" s="187">
        <f t="shared" si="126"/>
        <v>5.891569465990824</v>
      </c>
      <c r="BY39" s="187">
        <f t="shared" si="126"/>
        <v>5.671987447861035</v>
      </c>
      <c r="BZ39" s="187">
        <f t="shared" si="126"/>
        <v>5.451124534625488</v>
      </c>
      <c r="CA39" s="187">
        <f t="shared" si="126"/>
        <v>5.228973254396066</v>
      </c>
      <c r="CB39" s="188">
        <f>SUM(BP39:CA39)</f>
        <v>77.12988730499809</v>
      </c>
      <c r="CC39" s="187">
        <f aca="true" t="shared" si="127" ref="CC39:CN39">CC37</f>
        <v>5.0055260916986395</v>
      </c>
      <c r="CD39" s="187">
        <f t="shared" si="127"/>
        <v>4.780775487218812</v>
      </c>
      <c r="CE39" s="187">
        <f t="shared" si="127"/>
        <v>4.554713837546184</v>
      </c>
      <c r="CF39" s="187">
        <f t="shared" si="127"/>
        <v>4.327333494917133</v>
      </c>
      <c r="CG39" s="187">
        <f t="shared" si="127"/>
        <v>4.09862676695608</v>
      </c>
      <c r="CH39" s="187">
        <f t="shared" si="127"/>
        <v>3.868585916415254</v>
      </c>
      <c r="CI39" s="187">
        <f t="shared" si="127"/>
        <v>3.637203160912939</v>
      </c>
      <c r="CJ39" s="187">
        <f t="shared" si="127"/>
        <v>3.4044706726701937</v>
      </c>
      <c r="CK39" s="187">
        <f t="shared" si="127"/>
        <v>3.1703805782460326</v>
      </c>
      <c r="CL39" s="187">
        <f t="shared" si="127"/>
        <v>2.934924958271065</v>
      </c>
      <c r="CM39" s="187">
        <f t="shared" si="127"/>
        <v>2.6980958471795753</v>
      </c>
      <c r="CN39" s="187">
        <f t="shared" si="127"/>
        <v>2.459885232940053</v>
      </c>
      <c r="CO39" s="188">
        <f>SUM(CC39:CN39)</f>
        <v>44.94052204497196</v>
      </c>
      <c r="CP39" s="187">
        <f aca="true" t="shared" si="128" ref="CP39:DA39">CP37</f>
        <v>2.220285056784133</v>
      </c>
      <c r="CQ39" s="187">
        <f t="shared" si="128"/>
        <v>1.9792872129339703</v>
      </c>
      <c r="CR39" s="187">
        <f t="shared" si="128"/>
        <v>1.7368835483280147</v>
      </c>
      <c r="CS39" s="187">
        <f t="shared" si="128"/>
        <v>1.4930658623451913</v>
      </c>
      <c r="CT39" s="187">
        <f t="shared" si="128"/>
        <v>1.2478259065274682</v>
      </c>
      <c r="CU39" s="187">
        <f t="shared" si="128"/>
        <v>1.001155384300808</v>
      </c>
      <c r="CV39" s="187">
        <f t="shared" si="128"/>
        <v>0.7530459506944923</v>
      </c>
      <c r="CW39" s="187">
        <f t="shared" si="128"/>
        <v>0.5034892120588067</v>
      </c>
      <c r="CX39" s="187">
        <f t="shared" si="128"/>
        <v>0.2524767257810795</v>
      </c>
      <c r="CY39" s="187">
        <f t="shared" si="128"/>
        <v>6.557125213172791E-14</v>
      </c>
      <c r="CZ39" s="187">
        <f t="shared" si="128"/>
        <v>6.557125213172791E-14</v>
      </c>
      <c r="DA39" s="187">
        <f t="shared" si="128"/>
        <v>6.557125213172791E-14</v>
      </c>
      <c r="DB39" s="188">
        <f>SUM(CP39:DA39)</f>
        <v>11.187514859754161</v>
      </c>
      <c r="DC39" s="187">
        <f aca="true" t="shared" si="129" ref="DC39:DN39">DC37</f>
        <v>6.557125213172791E-14</v>
      </c>
      <c r="DD39" s="187">
        <f t="shared" si="129"/>
        <v>6.557125213172791E-14</v>
      </c>
      <c r="DE39" s="187">
        <f t="shared" si="129"/>
        <v>6.557125213172791E-14</v>
      </c>
      <c r="DF39" s="187">
        <f t="shared" si="129"/>
        <v>6.557125213172791E-14</v>
      </c>
      <c r="DG39" s="187">
        <f t="shared" si="129"/>
        <v>6.557125213172791E-14</v>
      </c>
      <c r="DH39" s="187">
        <f t="shared" si="129"/>
        <v>6.557125213172791E-14</v>
      </c>
      <c r="DI39" s="187">
        <f t="shared" si="129"/>
        <v>6.557125213172791E-14</v>
      </c>
      <c r="DJ39" s="187">
        <f t="shared" si="129"/>
        <v>6.557125213172791E-14</v>
      </c>
      <c r="DK39" s="187">
        <f t="shared" si="129"/>
        <v>6.557125213172791E-14</v>
      </c>
      <c r="DL39" s="187">
        <f t="shared" si="129"/>
        <v>6.557125213172791E-14</v>
      </c>
      <c r="DM39" s="187">
        <f t="shared" si="129"/>
        <v>6.557125213172791E-14</v>
      </c>
      <c r="DN39" s="187">
        <f t="shared" si="129"/>
        <v>6.557125213172791E-14</v>
      </c>
      <c r="DO39" s="188">
        <f>SUM(DC39:DN39)</f>
        <v>7.868550255807351E-13</v>
      </c>
    </row>
    <row r="40" spans="1:119" ht="12.75">
      <c r="A40" s="181" t="s">
        <v>13</v>
      </c>
      <c r="B40" s="186">
        <f>DO40</f>
        <v>1.1240786079724785E-11</v>
      </c>
      <c r="C40" s="187">
        <f>C35</f>
        <v>0</v>
      </c>
      <c r="D40" s="187">
        <f aca="true" t="shared" si="130" ref="D40:N40">C40+D35-D38+D36</f>
        <v>0</v>
      </c>
      <c r="E40" s="187">
        <f t="shared" si="130"/>
        <v>0</v>
      </c>
      <c r="F40" s="187">
        <f t="shared" si="130"/>
        <v>0</v>
      </c>
      <c r="G40" s="187">
        <f t="shared" si="130"/>
        <v>0</v>
      </c>
      <c r="H40" s="187">
        <f t="shared" si="130"/>
        <v>0</v>
      </c>
      <c r="I40" s="187">
        <f t="shared" si="130"/>
        <v>0</v>
      </c>
      <c r="J40" s="187">
        <f t="shared" si="130"/>
        <v>0</v>
      </c>
      <c r="K40" s="187">
        <f t="shared" si="130"/>
        <v>2467.125</v>
      </c>
      <c r="L40" s="187">
        <f t="shared" si="130"/>
        <v>2467.125</v>
      </c>
      <c r="M40" s="187">
        <f t="shared" si="130"/>
        <v>2467.125</v>
      </c>
      <c r="N40" s="187">
        <f t="shared" si="130"/>
        <v>2467.125</v>
      </c>
      <c r="O40" s="188">
        <f>N40</f>
        <v>2467.125</v>
      </c>
      <c r="P40" s="187">
        <f aca="true" t="shared" si="131" ref="P40:AA40">O40+P35-P38+P36</f>
        <v>2467.125</v>
      </c>
      <c r="Q40" s="187">
        <f t="shared" si="131"/>
        <v>2467.125</v>
      </c>
      <c r="R40" s="187">
        <f t="shared" si="131"/>
        <v>2553.474375</v>
      </c>
      <c r="S40" s="187">
        <f t="shared" si="131"/>
        <v>2553.474375</v>
      </c>
      <c r="T40" s="187">
        <f t="shared" si="131"/>
        <v>2553.474375</v>
      </c>
      <c r="U40" s="187">
        <f t="shared" si="131"/>
        <v>2553.474375</v>
      </c>
      <c r="V40" s="187">
        <f t="shared" si="131"/>
        <v>2553.474375</v>
      </c>
      <c r="W40" s="187">
        <f t="shared" si="131"/>
        <v>2553.474375</v>
      </c>
      <c r="X40" s="187">
        <f t="shared" si="131"/>
        <v>2553.474375</v>
      </c>
      <c r="Y40" s="187">
        <f t="shared" si="131"/>
        <v>2524.835441042116</v>
      </c>
      <c r="Z40" s="187">
        <f t="shared" si="131"/>
        <v>2496.029446636145</v>
      </c>
      <c r="AA40" s="187">
        <f t="shared" si="131"/>
        <v>2467.055417262806</v>
      </c>
      <c r="AB40" s="188">
        <f>AA40</f>
        <v>2467.055417262806</v>
      </c>
      <c r="AC40" s="187">
        <f aca="true" t="shared" si="132" ref="AC40:AN40">AB40+AC35-AC38+AC36</f>
        <v>2437.9123727181222</v>
      </c>
      <c r="AD40" s="187">
        <f t="shared" si="132"/>
        <v>2408.599327080261</v>
      </c>
      <c r="AE40" s="187">
        <f t="shared" si="132"/>
        <v>2379.1152886761793</v>
      </c>
      <c r="AF40" s="187">
        <f t="shared" si="132"/>
        <v>2349.4592600480737</v>
      </c>
      <c r="AG40" s="187">
        <f t="shared" si="132"/>
        <v>2319.6302379196372</v>
      </c>
      <c r="AH40" s="187">
        <f t="shared" si="132"/>
        <v>2289.6272131621186</v>
      </c>
      <c r="AI40" s="187">
        <f t="shared" si="132"/>
        <v>2259.449170760181</v>
      </c>
      <c r="AJ40" s="187">
        <f t="shared" si="132"/>
        <v>2229.095089777565</v>
      </c>
      <c r="AK40" s="187">
        <f t="shared" si="132"/>
        <v>2198.5639433225506</v>
      </c>
      <c r="AL40" s="187">
        <f t="shared" si="132"/>
        <v>2167.854698513215</v>
      </c>
      <c r="AM40" s="187">
        <f t="shared" si="132"/>
        <v>2136.9663164424924</v>
      </c>
      <c r="AN40" s="187">
        <f t="shared" si="132"/>
        <v>2105.8977521430234</v>
      </c>
      <c r="AO40" s="188">
        <f>AN40</f>
        <v>2105.8977521430234</v>
      </c>
      <c r="AP40" s="187">
        <f aca="true" t="shared" si="133" ref="AP40:BA40">AO40+AP35-AP38+AP36</f>
        <v>2074.6479545518077</v>
      </c>
      <c r="AQ40" s="187">
        <f t="shared" si="133"/>
        <v>2043.2158664746432</v>
      </c>
      <c r="AR40" s="187">
        <f t="shared" si="133"/>
        <v>2011.6004245503618</v>
      </c>
      <c r="AS40" s="187">
        <f t="shared" si="133"/>
        <v>1979.8005592148554</v>
      </c>
      <c r="AT40" s="187">
        <f t="shared" si="133"/>
        <v>1947.815194664892</v>
      </c>
      <c r="AU40" s="187">
        <f t="shared" si="133"/>
        <v>1915.6432488217204</v>
      </c>
      <c r="AV40" s="187">
        <f t="shared" si="133"/>
        <v>1883.2836332944637</v>
      </c>
      <c r="AW40" s="187">
        <f t="shared" si="133"/>
        <v>1850.735253343298</v>
      </c>
      <c r="AX40" s="187">
        <f t="shared" si="133"/>
        <v>1817.9970078424171</v>
      </c>
      <c r="AY40" s="187">
        <f t="shared" si="133"/>
        <v>1785.0677892427811</v>
      </c>
      <c r="AZ40" s="187">
        <f t="shared" si="133"/>
        <v>1751.9464835346473</v>
      </c>
      <c r="BA40" s="187">
        <f t="shared" si="133"/>
        <v>1718.6319702098826</v>
      </c>
      <c r="BB40" s="188">
        <f>BA40</f>
        <v>1718.6319702098826</v>
      </c>
      <c r="BC40" s="187">
        <f aca="true" t="shared" si="134" ref="BC40:BN40">BB40+BC35-BC38+BC36</f>
        <v>1685.1231222240567</v>
      </c>
      <c r="BD40" s="187">
        <f t="shared" si="134"/>
        <v>1651.4188059583137</v>
      </c>
      <c r="BE40" s="187">
        <f t="shared" si="134"/>
        <v>1617.5178811810204</v>
      </c>
      <c r="BF40" s="187">
        <f t="shared" si="134"/>
        <v>1583.4192010091929</v>
      </c>
      <c r="BG40" s="187">
        <f t="shared" si="134"/>
        <v>1549.1216118696964</v>
      </c>
      <c r="BH40" s="187">
        <f t="shared" si="134"/>
        <v>1514.6239534602196</v>
      </c>
      <c r="BI40" s="187">
        <f t="shared" si="134"/>
        <v>1479.9250587100207</v>
      </c>
      <c r="BJ40" s="187">
        <f t="shared" si="134"/>
        <v>1445.0237537404457</v>
      </c>
      <c r="BK40" s="187">
        <f t="shared" si="134"/>
        <v>1409.918857825215</v>
      </c>
      <c r="BL40" s="187">
        <f t="shared" si="134"/>
        <v>1374.6091833504786</v>
      </c>
      <c r="BM40" s="187">
        <f t="shared" si="134"/>
        <v>1339.0935357746396</v>
      </c>
      <c r="BN40" s="187">
        <f t="shared" si="134"/>
        <v>1303.3707135879415</v>
      </c>
      <c r="BO40" s="188">
        <f>BN40</f>
        <v>1303.3707135879415</v>
      </c>
      <c r="BP40" s="187">
        <f aca="true" t="shared" si="135" ref="BP40:CA40">BO40+BP35-BP38+BP36</f>
        <v>1267.439508271821</v>
      </c>
      <c r="BQ40" s="187">
        <f t="shared" si="135"/>
        <v>1231.2987042580232</v>
      </c>
      <c r="BR40" s="187">
        <f t="shared" si="135"/>
        <v>1194.9470788874783</v>
      </c>
      <c r="BS40" s="187">
        <f t="shared" si="135"/>
        <v>1158.3834023689385</v>
      </c>
      <c r="BT40" s="187">
        <f t="shared" si="135"/>
        <v>1121.6064377373739</v>
      </c>
      <c r="BU40" s="187">
        <f t="shared" si="135"/>
        <v>1084.614940812125</v>
      </c>
      <c r="BV40" s="187">
        <f t="shared" si="135"/>
        <v>1047.4076601548122</v>
      </c>
      <c r="BW40" s="187">
        <f t="shared" si="135"/>
        <v>1009.9833370269985</v>
      </c>
      <c r="BX40" s="187">
        <f t="shared" si="135"/>
        <v>972.3407053476059</v>
      </c>
      <c r="BY40" s="187">
        <f t="shared" si="135"/>
        <v>934.4784916500835</v>
      </c>
      <c r="BZ40" s="187">
        <f t="shared" si="135"/>
        <v>896.3954150393255</v>
      </c>
      <c r="CA40" s="187">
        <f t="shared" si="135"/>
        <v>858.0901871483381</v>
      </c>
      <c r="CB40" s="188">
        <f>CA40</f>
        <v>858.0901871483381</v>
      </c>
      <c r="CC40" s="187">
        <f aca="true" t="shared" si="136" ref="CC40:CN40">CB40+CC35-CC38+CC36</f>
        <v>819.5615120946534</v>
      </c>
      <c r="CD40" s="187">
        <f t="shared" si="136"/>
        <v>780.8080864364887</v>
      </c>
      <c r="CE40" s="187">
        <f t="shared" si="136"/>
        <v>741.8285991286514</v>
      </c>
      <c r="CF40" s="187">
        <f t="shared" si="136"/>
        <v>702.6217314781851</v>
      </c>
      <c r="CG40" s="187">
        <f t="shared" si="136"/>
        <v>663.1861570997577</v>
      </c>
      <c r="CH40" s="187">
        <f t="shared" si="136"/>
        <v>623.5205418707894</v>
      </c>
      <c r="CI40" s="187">
        <f t="shared" si="136"/>
        <v>583.6235438863189</v>
      </c>
      <c r="CJ40" s="187">
        <f t="shared" si="136"/>
        <v>543.4938134136056</v>
      </c>
      <c r="CK40" s="187">
        <f t="shared" si="136"/>
        <v>503.12999284646816</v>
      </c>
      <c r="CL40" s="187">
        <f t="shared" si="136"/>
        <v>462.5307166593558</v>
      </c>
      <c r="CM40" s="187">
        <f t="shared" si="136"/>
        <v>421.6946113611519</v>
      </c>
      <c r="CN40" s="187">
        <f t="shared" si="136"/>
        <v>380.6202954487085</v>
      </c>
      <c r="CO40" s="188">
        <f>CN40</f>
        <v>380.6202954487085</v>
      </c>
      <c r="CP40" s="187">
        <f aca="true" t="shared" si="137" ref="CP40:DA40">CO40+CP35-CP38+CP36</f>
        <v>339.30637936010913</v>
      </c>
      <c r="CQ40" s="187">
        <f t="shared" si="137"/>
        <v>297.75146542765964</v>
      </c>
      <c r="CR40" s="187">
        <f t="shared" si="137"/>
        <v>255.9541478306042</v>
      </c>
      <c r="CS40" s="187">
        <f t="shared" si="137"/>
        <v>213.91301254756593</v>
      </c>
      <c r="CT40" s="187">
        <f t="shared" si="137"/>
        <v>171.62663730870992</v>
      </c>
      <c r="CU40" s="187">
        <f t="shared" si="137"/>
        <v>129.09359154762726</v>
      </c>
      <c r="CV40" s="187">
        <f t="shared" si="137"/>
        <v>86.31243635293828</v>
      </c>
      <c r="CW40" s="187">
        <f t="shared" si="137"/>
        <v>43.281724419613624</v>
      </c>
      <c r="CX40" s="187">
        <f t="shared" si="137"/>
        <v>1.1240786079724785E-11</v>
      </c>
      <c r="CY40" s="187">
        <f t="shared" si="137"/>
        <v>1.1240786079724785E-11</v>
      </c>
      <c r="CZ40" s="187">
        <f t="shared" si="137"/>
        <v>1.1240786079724785E-11</v>
      </c>
      <c r="DA40" s="187">
        <f t="shared" si="137"/>
        <v>1.1240786079724785E-11</v>
      </c>
      <c r="DB40" s="188">
        <f>DA40</f>
        <v>1.1240786079724785E-11</v>
      </c>
      <c r="DC40" s="187">
        <f aca="true" t="shared" si="138" ref="DC40:DN40">DB40+DC35-DC38+DC36</f>
        <v>1.1240786079724785E-11</v>
      </c>
      <c r="DD40" s="187">
        <f t="shared" si="138"/>
        <v>1.1240786079724785E-11</v>
      </c>
      <c r="DE40" s="187">
        <f t="shared" si="138"/>
        <v>1.1240786079724785E-11</v>
      </c>
      <c r="DF40" s="187">
        <f t="shared" si="138"/>
        <v>1.1240786079724785E-11</v>
      </c>
      <c r="DG40" s="187">
        <f t="shared" si="138"/>
        <v>1.1240786079724785E-11</v>
      </c>
      <c r="DH40" s="187">
        <f t="shared" si="138"/>
        <v>1.1240786079724785E-11</v>
      </c>
      <c r="DI40" s="187">
        <f t="shared" si="138"/>
        <v>1.1240786079724785E-11</v>
      </c>
      <c r="DJ40" s="187">
        <f t="shared" si="138"/>
        <v>1.1240786079724785E-11</v>
      </c>
      <c r="DK40" s="187">
        <f t="shared" si="138"/>
        <v>1.1240786079724785E-11</v>
      </c>
      <c r="DL40" s="187">
        <f t="shared" si="138"/>
        <v>1.1240786079724785E-11</v>
      </c>
      <c r="DM40" s="187">
        <f t="shared" si="138"/>
        <v>1.1240786079724785E-11</v>
      </c>
      <c r="DN40" s="187">
        <f t="shared" si="138"/>
        <v>1.1240786079724785E-11</v>
      </c>
      <c r="DO40" s="188">
        <f>DN40</f>
        <v>1.1240786079724785E-11</v>
      </c>
    </row>
    <row r="41" spans="1:119" ht="12.75">
      <c r="A41" s="173" t="s">
        <v>70</v>
      </c>
      <c r="B41" s="285">
        <f>B26</f>
        <v>72</v>
      </c>
      <c r="CP41" s="176"/>
      <c r="DB41" s="173"/>
      <c r="DO41" s="173"/>
    </row>
    <row r="42" spans="1:119" ht="12.75">
      <c r="A42" s="286" t="s">
        <v>214</v>
      </c>
      <c r="B42" s="287">
        <f>$R$40*$B33/12/((1-(1+$B33/12)^-$B41))</f>
        <v>43.53420114538346</v>
      </c>
      <c r="DB42" s="173"/>
      <c r="DO42" s="173"/>
    </row>
    <row r="44" ht="12.75">
      <c r="A44" s="194">
        <f>B37-B36-B39</f>
        <v>0</v>
      </c>
    </row>
    <row r="45" ht="12.75">
      <c r="A45" s="194">
        <f>B35+B36-B38-B40</f>
        <v>-1.2363443602225743E-12</v>
      </c>
    </row>
    <row r="47" spans="1:119" ht="12.75">
      <c r="A47" s="284" t="s">
        <v>216</v>
      </c>
      <c r="B47" s="282"/>
      <c r="DB47" s="173"/>
      <c r="DO47" s="173"/>
    </row>
    <row r="48" spans="1:119" ht="15.75" customHeight="1">
      <c r="A48" s="180" t="s">
        <v>9</v>
      </c>
      <c r="B48" s="283">
        <f>Исх!$C$46</f>
        <v>0.07</v>
      </c>
      <c r="C48" s="350">
        <v>2013</v>
      </c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>
        <v>2014</v>
      </c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>
        <v>2015</v>
      </c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>
        <v>2016</v>
      </c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>
        <v>2017</v>
      </c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>
        <v>2018</v>
      </c>
      <c r="BQ48" s="350"/>
      <c r="BR48" s="350"/>
      <c r="BS48" s="350"/>
      <c r="BT48" s="350"/>
      <c r="BU48" s="350"/>
      <c r="BV48" s="350"/>
      <c r="BW48" s="350"/>
      <c r="BX48" s="350"/>
      <c r="BY48" s="350"/>
      <c r="BZ48" s="350"/>
      <c r="CA48" s="350"/>
      <c r="CB48" s="350"/>
      <c r="CC48" s="350">
        <v>2019</v>
      </c>
      <c r="CD48" s="350"/>
      <c r="CE48" s="350"/>
      <c r="CF48" s="350"/>
      <c r="CG48" s="350"/>
      <c r="CH48" s="350"/>
      <c r="CI48" s="350"/>
      <c r="CJ48" s="350"/>
      <c r="CK48" s="350"/>
      <c r="CL48" s="350"/>
      <c r="CM48" s="350"/>
      <c r="CN48" s="350"/>
      <c r="CO48" s="350"/>
      <c r="CP48" s="350">
        <v>2020</v>
      </c>
      <c r="CQ48" s="350"/>
      <c r="CR48" s="350"/>
      <c r="CS48" s="350"/>
      <c r="CT48" s="350"/>
      <c r="CU48" s="350"/>
      <c r="CV48" s="350"/>
      <c r="CW48" s="350"/>
      <c r="CX48" s="350"/>
      <c r="CY48" s="350"/>
      <c r="CZ48" s="350"/>
      <c r="DA48" s="350"/>
      <c r="DB48" s="350"/>
      <c r="DC48" s="350">
        <v>2021</v>
      </c>
      <c r="DD48" s="350"/>
      <c r="DE48" s="350"/>
      <c r="DF48" s="350"/>
      <c r="DG48" s="350"/>
      <c r="DH48" s="350"/>
      <c r="DI48" s="350"/>
      <c r="DJ48" s="350"/>
      <c r="DK48" s="350"/>
      <c r="DL48" s="350"/>
      <c r="DM48" s="350"/>
      <c r="DN48" s="350"/>
      <c r="DO48" s="350"/>
    </row>
    <row r="49" spans="1:119" s="185" customFormat="1" ht="15" customHeight="1">
      <c r="A49" s="181" t="s">
        <v>7</v>
      </c>
      <c r="B49" s="182" t="s">
        <v>80</v>
      </c>
      <c r="C49" s="183">
        <v>1</v>
      </c>
      <c r="D49" s="183">
        <v>2</v>
      </c>
      <c r="E49" s="183">
        <f aca="true" t="shared" si="139" ref="E49:N49">D49+1</f>
        <v>3</v>
      </c>
      <c r="F49" s="183">
        <f t="shared" si="139"/>
        <v>4</v>
      </c>
      <c r="G49" s="183">
        <f t="shared" si="139"/>
        <v>5</v>
      </c>
      <c r="H49" s="183">
        <f t="shared" si="139"/>
        <v>6</v>
      </c>
      <c r="I49" s="183">
        <f t="shared" si="139"/>
        <v>7</v>
      </c>
      <c r="J49" s="183">
        <f t="shared" si="139"/>
        <v>8</v>
      </c>
      <c r="K49" s="183">
        <f t="shared" si="139"/>
        <v>9</v>
      </c>
      <c r="L49" s="183">
        <f t="shared" si="139"/>
        <v>10</v>
      </c>
      <c r="M49" s="183">
        <f t="shared" si="139"/>
        <v>11</v>
      </c>
      <c r="N49" s="183">
        <f t="shared" si="139"/>
        <v>12</v>
      </c>
      <c r="O49" s="184">
        <f>O33</f>
        <v>0</v>
      </c>
      <c r="P49" s="183">
        <v>1</v>
      </c>
      <c r="Q49" s="183">
        <v>2</v>
      </c>
      <c r="R49" s="183">
        <f aca="true" t="shared" si="140" ref="R49:AA49">Q49+1</f>
        <v>3</v>
      </c>
      <c r="S49" s="183">
        <f t="shared" si="140"/>
        <v>4</v>
      </c>
      <c r="T49" s="183">
        <f t="shared" si="140"/>
        <v>5</v>
      </c>
      <c r="U49" s="183">
        <f t="shared" si="140"/>
        <v>6</v>
      </c>
      <c r="V49" s="183">
        <f t="shared" si="140"/>
        <v>7</v>
      </c>
      <c r="W49" s="183">
        <f t="shared" si="140"/>
        <v>8</v>
      </c>
      <c r="X49" s="183">
        <f t="shared" si="140"/>
        <v>9</v>
      </c>
      <c r="Y49" s="183">
        <f t="shared" si="140"/>
        <v>10</v>
      </c>
      <c r="Z49" s="183">
        <f t="shared" si="140"/>
        <v>11</v>
      </c>
      <c r="AA49" s="183">
        <f t="shared" si="140"/>
        <v>12</v>
      </c>
      <c r="AB49" s="184">
        <f>AB33</f>
        <v>0</v>
      </c>
      <c r="AC49" s="183">
        <v>1</v>
      </c>
      <c r="AD49" s="183">
        <v>2</v>
      </c>
      <c r="AE49" s="183">
        <f aca="true" t="shared" si="141" ref="AE49:AN49">AD49+1</f>
        <v>3</v>
      </c>
      <c r="AF49" s="183">
        <f t="shared" si="141"/>
        <v>4</v>
      </c>
      <c r="AG49" s="183">
        <f t="shared" si="141"/>
        <v>5</v>
      </c>
      <c r="AH49" s="183">
        <f t="shared" si="141"/>
        <v>6</v>
      </c>
      <c r="AI49" s="183">
        <f t="shared" si="141"/>
        <v>7</v>
      </c>
      <c r="AJ49" s="183">
        <f t="shared" si="141"/>
        <v>8</v>
      </c>
      <c r="AK49" s="183">
        <f t="shared" si="141"/>
        <v>9</v>
      </c>
      <c r="AL49" s="183">
        <f t="shared" si="141"/>
        <v>10</v>
      </c>
      <c r="AM49" s="183">
        <f t="shared" si="141"/>
        <v>11</v>
      </c>
      <c r="AN49" s="183">
        <f t="shared" si="141"/>
        <v>12</v>
      </c>
      <c r="AO49" s="184">
        <f>AO33</f>
        <v>0</v>
      </c>
      <c r="AP49" s="183">
        <v>1</v>
      </c>
      <c r="AQ49" s="183">
        <v>2</v>
      </c>
      <c r="AR49" s="183">
        <f aca="true" t="shared" si="142" ref="AR49:BA49">AQ49+1</f>
        <v>3</v>
      </c>
      <c r="AS49" s="183">
        <f t="shared" si="142"/>
        <v>4</v>
      </c>
      <c r="AT49" s="183">
        <f t="shared" si="142"/>
        <v>5</v>
      </c>
      <c r="AU49" s="183">
        <f t="shared" si="142"/>
        <v>6</v>
      </c>
      <c r="AV49" s="183">
        <f t="shared" si="142"/>
        <v>7</v>
      </c>
      <c r="AW49" s="183">
        <f t="shared" si="142"/>
        <v>8</v>
      </c>
      <c r="AX49" s="183">
        <f t="shared" si="142"/>
        <v>9</v>
      </c>
      <c r="AY49" s="183">
        <f t="shared" si="142"/>
        <v>10</v>
      </c>
      <c r="AZ49" s="183">
        <f t="shared" si="142"/>
        <v>11</v>
      </c>
      <c r="BA49" s="183">
        <f t="shared" si="142"/>
        <v>12</v>
      </c>
      <c r="BB49" s="184">
        <f>BB33</f>
        <v>0</v>
      </c>
      <c r="BC49" s="183">
        <v>1</v>
      </c>
      <c r="BD49" s="183">
        <v>2</v>
      </c>
      <c r="BE49" s="183">
        <f aca="true" t="shared" si="143" ref="BE49:BN49">BD49+1</f>
        <v>3</v>
      </c>
      <c r="BF49" s="183">
        <f t="shared" si="143"/>
        <v>4</v>
      </c>
      <c r="BG49" s="183">
        <f t="shared" si="143"/>
        <v>5</v>
      </c>
      <c r="BH49" s="183">
        <f t="shared" si="143"/>
        <v>6</v>
      </c>
      <c r="BI49" s="183">
        <f t="shared" si="143"/>
        <v>7</v>
      </c>
      <c r="BJ49" s="183">
        <f t="shared" si="143"/>
        <v>8</v>
      </c>
      <c r="BK49" s="183">
        <f t="shared" si="143"/>
        <v>9</v>
      </c>
      <c r="BL49" s="183">
        <f t="shared" si="143"/>
        <v>10</v>
      </c>
      <c r="BM49" s="183">
        <f t="shared" si="143"/>
        <v>11</v>
      </c>
      <c r="BN49" s="183">
        <f t="shared" si="143"/>
        <v>12</v>
      </c>
      <c r="BO49" s="184">
        <f>BO33</f>
        <v>0</v>
      </c>
      <c r="BP49" s="183">
        <v>1</v>
      </c>
      <c r="BQ49" s="183">
        <v>2</v>
      </c>
      <c r="BR49" s="183">
        <f aca="true" t="shared" si="144" ref="BR49:CA49">BQ49+1</f>
        <v>3</v>
      </c>
      <c r="BS49" s="183">
        <f t="shared" si="144"/>
        <v>4</v>
      </c>
      <c r="BT49" s="183">
        <f t="shared" si="144"/>
        <v>5</v>
      </c>
      <c r="BU49" s="183">
        <f t="shared" si="144"/>
        <v>6</v>
      </c>
      <c r="BV49" s="183">
        <f t="shared" si="144"/>
        <v>7</v>
      </c>
      <c r="BW49" s="183">
        <f t="shared" si="144"/>
        <v>8</v>
      </c>
      <c r="BX49" s="183">
        <f t="shared" si="144"/>
        <v>9</v>
      </c>
      <c r="BY49" s="183">
        <f t="shared" si="144"/>
        <v>10</v>
      </c>
      <c r="BZ49" s="183">
        <f t="shared" si="144"/>
        <v>11</v>
      </c>
      <c r="CA49" s="183">
        <f t="shared" si="144"/>
        <v>12</v>
      </c>
      <c r="CB49" s="184">
        <f>CB33</f>
        <v>0</v>
      </c>
      <c r="CC49" s="183">
        <v>1</v>
      </c>
      <c r="CD49" s="183">
        <v>2</v>
      </c>
      <c r="CE49" s="183">
        <f aca="true" t="shared" si="145" ref="CE49:CN49">CD49+1</f>
        <v>3</v>
      </c>
      <c r="CF49" s="183">
        <f t="shared" si="145"/>
        <v>4</v>
      </c>
      <c r="CG49" s="183">
        <f t="shared" si="145"/>
        <v>5</v>
      </c>
      <c r="CH49" s="183">
        <f t="shared" si="145"/>
        <v>6</v>
      </c>
      <c r="CI49" s="183">
        <f t="shared" si="145"/>
        <v>7</v>
      </c>
      <c r="CJ49" s="183">
        <f t="shared" si="145"/>
        <v>8</v>
      </c>
      <c r="CK49" s="183">
        <f t="shared" si="145"/>
        <v>9</v>
      </c>
      <c r="CL49" s="183">
        <f t="shared" si="145"/>
        <v>10</v>
      </c>
      <c r="CM49" s="183">
        <f t="shared" si="145"/>
        <v>11</v>
      </c>
      <c r="CN49" s="183">
        <f t="shared" si="145"/>
        <v>12</v>
      </c>
      <c r="CO49" s="184">
        <f>CO33</f>
        <v>0</v>
      </c>
      <c r="CP49" s="183">
        <v>1</v>
      </c>
      <c r="CQ49" s="183">
        <f aca="true" t="shared" si="146" ref="CQ49:DA49">CP49+1</f>
        <v>2</v>
      </c>
      <c r="CR49" s="183">
        <f t="shared" si="146"/>
        <v>3</v>
      </c>
      <c r="CS49" s="183">
        <f t="shared" si="146"/>
        <v>4</v>
      </c>
      <c r="CT49" s="183">
        <f t="shared" si="146"/>
        <v>5</v>
      </c>
      <c r="CU49" s="183">
        <f t="shared" si="146"/>
        <v>6</v>
      </c>
      <c r="CV49" s="183">
        <f t="shared" si="146"/>
        <v>7</v>
      </c>
      <c r="CW49" s="183">
        <f t="shared" si="146"/>
        <v>8</v>
      </c>
      <c r="CX49" s="183">
        <f t="shared" si="146"/>
        <v>9</v>
      </c>
      <c r="CY49" s="183">
        <f t="shared" si="146"/>
        <v>10</v>
      </c>
      <c r="CZ49" s="183">
        <f t="shared" si="146"/>
        <v>11</v>
      </c>
      <c r="DA49" s="183">
        <f t="shared" si="146"/>
        <v>12</v>
      </c>
      <c r="DB49" s="184">
        <f>DB33</f>
        <v>0</v>
      </c>
      <c r="DC49" s="183">
        <v>1</v>
      </c>
      <c r="DD49" s="183">
        <f aca="true" t="shared" si="147" ref="DD49:DN49">DC49+1</f>
        <v>2</v>
      </c>
      <c r="DE49" s="183">
        <f t="shared" si="147"/>
        <v>3</v>
      </c>
      <c r="DF49" s="183">
        <f t="shared" si="147"/>
        <v>4</v>
      </c>
      <c r="DG49" s="183">
        <f t="shared" si="147"/>
        <v>5</v>
      </c>
      <c r="DH49" s="183">
        <f t="shared" si="147"/>
        <v>6</v>
      </c>
      <c r="DI49" s="183">
        <f t="shared" si="147"/>
        <v>7</v>
      </c>
      <c r="DJ49" s="183">
        <f t="shared" si="147"/>
        <v>8</v>
      </c>
      <c r="DK49" s="183">
        <f t="shared" si="147"/>
        <v>9</v>
      </c>
      <c r="DL49" s="183">
        <f t="shared" si="147"/>
        <v>10</v>
      </c>
      <c r="DM49" s="183">
        <f t="shared" si="147"/>
        <v>11</v>
      </c>
      <c r="DN49" s="183">
        <f t="shared" si="147"/>
        <v>12</v>
      </c>
      <c r="DO49" s="184" t="s">
        <v>0</v>
      </c>
    </row>
    <row r="50" spans="1:119" ht="12.75">
      <c r="A50" s="181" t="s">
        <v>98</v>
      </c>
      <c r="B50" s="186">
        <f>O50+AB50+AO50+BB50+BO50+CB50+CO50+DB50+DO50</f>
        <v>3550.45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>
        <f>'1-Ф3'!M$33</f>
        <v>3550.45</v>
      </c>
      <c r="M50" s="187"/>
      <c r="N50" s="187"/>
      <c r="O50" s="188">
        <f>SUM(C50:N50)</f>
        <v>3550.45</v>
      </c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>
        <f>SUM(P50:AA50)</f>
        <v>0</v>
      </c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>
        <f>SUM(AC50:AN50)</f>
        <v>0</v>
      </c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</row>
    <row r="51" spans="1:119" s="190" customFormat="1" ht="20.25" customHeight="1">
      <c r="A51" s="181" t="s">
        <v>27</v>
      </c>
      <c r="B51" s="186">
        <f>O51+AB51+AO51+BB51+BO51+CB51+CO51+DB51+DO51</f>
        <v>124.26575000000001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8">
        <f>SUM(C51:N51)</f>
        <v>0</v>
      </c>
      <c r="P51" s="187"/>
      <c r="Q51" s="187"/>
      <c r="R51" s="187"/>
      <c r="S51" s="187">
        <f>SUM(O52:S52)</f>
        <v>124.26575000000001</v>
      </c>
      <c r="T51" s="187"/>
      <c r="U51" s="187"/>
      <c r="V51" s="187"/>
      <c r="W51" s="187"/>
      <c r="X51" s="187"/>
      <c r="Y51" s="187"/>
      <c r="Z51" s="187"/>
      <c r="AA51" s="187"/>
      <c r="AB51" s="188">
        <f>SUM(P51:AA51)</f>
        <v>124.26575000000001</v>
      </c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8">
        <f>SUM(AC51:AN51)</f>
        <v>0</v>
      </c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8">
        <f>SUM(AP51:BA51)</f>
        <v>0</v>
      </c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8">
        <f>SUM(BC51:BN51)</f>
        <v>0</v>
      </c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8">
        <f>SUM(BP51:CA51)</f>
        <v>0</v>
      </c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8">
        <f>SUM(CC51:CN51)</f>
        <v>0</v>
      </c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8">
        <f>SUM(CP51:DA51)</f>
        <v>0</v>
      </c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8">
        <f>SUM(DC51:DN51)</f>
        <v>0</v>
      </c>
    </row>
    <row r="52" spans="1:119" s="190" customFormat="1" ht="12.75">
      <c r="A52" s="191" t="s">
        <v>10</v>
      </c>
      <c r="B52" s="186">
        <f>O52+AB52+AO52+BB52+BO52+CB52+CO52+DB52+DO52</f>
        <v>1088.9832387667102</v>
      </c>
      <c r="C52" s="187"/>
      <c r="D52" s="187">
        <f aca="true" t="shared" si="148" ref="D52:N52">C55*$B48/12</f>
        <v>0</v>
      </c>
      <c r="E52" s="187">
        <f t="shared" si="148"/>
        <v>0</v>
      </c>
      <c r="F52" s="187">
        <f t="shared" si="148"/>
        <v>0</v>
      </c>
      <c r="G52" s="187">
        <f t="shared" si="148"/>
        <v>0</v>
      </c>
      <c r="H52" s="187">
        <f t="shared" si="148"/>
        <v>0</v>
      </c>
      <c r="I52" s="187">
        <f t="shared" si="148"/>
        <v>0</v>
      </c>
      <c r="J52" s="187">
        <f t="shared" si="148"/>
        <v>0</v>
      </c>
      <c r="K52" s="187">
        <f t="shared" si="148"/>
        <v>0</v>
      </c>
      <c r="L52" s="187">
        <f t="shared" si="148"/>
        <v>0</v>
      </c>
      <c r="M52" s="187">
        <f t="shared" si="148"/>
        <v>20.710958333333334</v>
      </c>
      <c r="N52" s="187">
        <f t="shared" si="148"/>
        <v>20.710958333333334</v>
      </c>
      <c r="O52" s="188">
        <f>SUM(C52:N52)</f>
        <v>41.42191666666667</v>
      </c>
      <c r="P52" s="187">
        <f aca="true" t="shared" si="149" ref="P52:AA52">O55*$B48/12</f>
        <v>20.710958333333334</v>
      </c>
      <c r="Q52" s="187">
        <f t="shared" si="149"/>
        <v>20.710958333333334</v>
      </c>
      <c r="R52" s="187">
        <f t="shared" si="149"/>
        <v>20.710958333333334</v>
      </c>
      <c r="S52" s="187">
        <f t="shared" si="149"/>
        <v>20.710958333333334</v>
      </c>
      <c r="T52" s="187">
        <f t="shared" si="149"/>
        <v>21.435841874999998</v>
      </c>
      <c r="U52" s="187">
        <f t="shared" si="149"/>
        <v>21.435841874999998</v>
      </c>
      <c r="V52" s="187">
        <f t="shared" si="149"/>
        <v>21.435841874999998</v>
      </c>
      <c r="W52" s="187">
        <f t="shared" si="149"/>
        <v>21.435841874999998</v>
      </c>
      <c r="X52" s="187">
        <f t="shared" si="149"/>
        <v>21.435841874999998</v>
      </c>
      <c r="Y52" s="187">
        <f t="shared" si="149"/>
        <v>21.435841874999998</v>
      </c>
      <c r="Z52" s="187">
        <f t="shared" si="149"/>
        <v>21.435841874999998</v>
      </c>
      <c r="AA52" s="187">
        <f t="shared" si="149"/>
        <v>21.19542447907851</v>
      </c>
      <c r="AB52" s="188">
        <f>SUM(P52:AA52)</f>
        <v>254.0901509374118</v>
      </c>
      <c r="AC52" s="187">
        <f aca="true" t="shared" si="150" ref="AC52:AN52">AB55*$B48/12</f>
        <v>20.953604648347476</v>
      </c>
      <c r="AD52" s="187">
        <f t="shared" si="150"/>
        <v>20.710374201937178</v>
      </c>
      <c r="AE52" s="187">
        <f t="shared" si="150"/>
        <v>20.465724911256153</v>
      </c>
      <c r="AF52" s="187">
        <f t="shared" si="150"/>
        <v>20.21964849971282</v>
      </c>
      <c r="AG52" s="187">
        <f t="shared" si="150"/>
        <v>19.97213664243549</v>
      </c>
      <c r="AH52" s="187">
        <f t="shared" si="150"/>
        <v>19.723180965990704</v>
      </c>
      <c r="AI52" s="187">
        <f t="shared" si="150"/>
        <v>19.472773048099995</v>
      </c>
      <c r="AJ52" s="187">
        <f t="shared" si="150"/>
        <v>19.22090441735492</v>
      </c>
      <c r="AK52" s="187">
        <f t="shared" si="150"/>
        <v>18.9675665529305</v>
      </c>
      <c r="AL52" s="187">
        <f t="shared" si="150"/>
        <v>18.712750884296938</v>
      </c>
      <c r="AM52" s="187">
        <f t="shared" si="150"/>
        <v>18.456448790929677</v>
      </c>
      <c r="AN52" s="187">
        <f t="shared" si="150"/>
        <v>18.198651602017776</v>
      </c>
      <c r="AO52" s="188">
        <f>SUM(AC52:AN52)</f>
        <v>235.0737651653096</v>
      </c>
      <c r="AP52" s="187">
        <f aca="true" t="shared" si="151" ref="AP52:BA52">AO55*$B48/12</f>
        <v>17.939350596170552</v>
      </c>
      <c r="AQ52" s="187">
        <f t="shared" si="151"/>
        <v>17.678537001122557</v>
      </c>
      <c r="AR52" s="187">
        <f t="shared" si="151"/>
        <v>17.41620199343678</v>
      </c>
      <c r="AS52" s="187">
        <f t="shared" si="151"/>
        <v>17.15233669820617</v>
      </c>
      <c r="AT52" s="187">
        <f t="shared" si="151"/>
        <v>16.88693218875338</v>
      </c>
      <c r="AU52" s="187">
        <f t="shared" si="151"/>
        <v>16.619979486328784</v>
      </c>
      <c r="AV52" s="187">
        <f t="shared" si="151"/>
        <v>16.351469559806713</v>
      </c>
      <c r="AW52" s="187">
        <f t="shared" si="151"/>
        <v>16.081393325379928</v>
      </c>
      <c r="AX52" s="187">
        <f t="shared" si="151"/>
        <v>15.80974164625232</v>
      </c>
      <c r="AY52" s="187">
        <f t="shared" si="151"/>
        <v>15.536505332329801</v>
      </c>
      <c r="AZ52" s="187">
        <f t="shared" si="151"/>
        <v>15.2616751399094</v>
      </c>
      <c r="BA52" s="187">
        <f t="shared" si="151"/>
        <v>14.985241771366546</v>
      </c>
      <c r="BB52" s="188">
        <f>SUM(AP52:BA52)</f>
        <v>197.71936473906288</v>
      </c>
      <c r="BC52" s="187">
        <f aca="true" t="shared" si="152" ref="BC52:BN52">BB55*$B48/12</f>
        <v>14.707195874840528</v>
      </c>
      <c r="BD52" s="187">
        <f t="shared" si="152"/>
        <v>14.427528043918104</v>
      </c>
      <c r="BE52" s="187">
        <f t="shared" si="152"/>
        <v>14.146228817315302</v>
      </c>
      <c r="BF52" s="187">
        <f t="shared" si="152"/>
        <v>13.863288678557318</v>
      </c>
      <c r="BG52" s="187">
        <f t="shared" si="152"/>
        <v>13.578698055656579</v>
      </c>
      <c r="BH52" s="187">
        <f t="shared" si="152"/>
        <v>13.292447320788916</v>
      </c>
      <c r="BI52" s="187">
        <f t="shared" si="152"/>
        <v>13.00452678996786</v>
      </c>
      <c r="BJ52" s="187">
        <f t="shared" si="152"/>
        <v>12.714926722717017</v>
      </c>
      <c r="BK52" s="187">
        <f t="shared" si="152"/>
        <v>12.423637321740541</v>
      </c>
      <c r="BL52" s="187">
        <f t="shared" si="152"/>
        <v>12.130648732591704</v>
      </c>
      <c r="BM52" s="187">
        <f t="shared" si="152"/>
        <v>11.835951043339499</v>
      </c>
      <c r="BN52" s="187">
        <f t="shared" si="152"/>
        <v>11.53953428423332</v>
      </c>
      <c r="BO52" s="188">
        <f>SUM(BC52:BN52)</f>
        <v>157.66461168566667</v>
      </c>
      <c r="BP52" s="187">
        <f aca="true" t="shared" si="153" ref="BP52:CA52">BO55*$B48/12</f>
        <v>11.24138842736569</v>
      </c>
      <c r="BQ52" s="187">
        <f t="shared" si="153"/>
        <v>10.941503386332997</v>
      </c>
      <c r="BR52" s="187">
        <f t="shared" si="153"/>
        <v>10.639869015894282</v>
      </c>
      <c r="BS52" s="187">
        <f t="shared" si="153"/>
        <v>10.336475111628006</v>
      </c>
      <c r="BT52" s="187">
        <f t="shared" si="153"/>
        <v>10.031311409586847</v>
      </c>
      <c r="BU52" s="187">
        <f t="shared" si="153"/>
        <v>9.724367585950445</v>
      </c>
      <c r="BV52" s="187">
        <f t="shared" si="153"/>
        <v>9.415633256676164</v>
      </c>
      <c r="BW52" s="187">
        <f t="shared" si="153"/>
        <v>9.105097977147784</v>
      </c>
      <c r="BX52" s="187">
        <f t="shared" si="153"/>
        <v>8.792751241822154</v>
      </c>
      <c r="BY52" s="187">
        <f t="shared" si="153"/>
        <v>8.478582483873792</v>
      </c>
      <c r="BZ52" s="187">
        <f t="shared" si="153"/>
        <v>8.162581074837396</v>
      </c>
      <c r="CA52" s="187">
        <f t="shared" si="153"/>
        <v>7.844736324248291</v>
      </c>
      <c r="CB52" s="188">
        <f>SUM(BP52:CA52)</f>
        <v>114.71429729536385</v>
      </c>
      <c r="CC52" s="187">
        <f aca="true" t="shared" si="154" ref="CC52:CN52">CB55*$B48/12</f>
        <v>7.525037479280748</v>
      </c>
      <c r="CD52" s="187">
        <f t="shared" si="154"/>
        <v>7.203473724384227</v>
      </c>
      <c r="CE52" s="187">
        <f t="shared" si="154"/>
        <v>6.880034180917477</v>
      </c>
      <c r="CF52" s="187">
        <f t="shared" si="154"/>
        <v>6.554707906780504</v>
      </c>
      <c r="CG52" s="187">
        <f t="shared" si="154"/>
        <v>6.2274838960444</v>
      </c>
      <c r="CH52" s="187">
        <f t="shared" si="154"/>
        <v>5.898351078579</v>
      </c>
      <c r="CI52" s="187">
        <f t="shared" si="154"/>
        <v>5.567298319678386</v>
      </c>
      <c r="CJ52" s="187">
        <f t="shared" si="154"/>
        <v>5.234314419684185</v>
      </c>
      <c r="CK52" s="187">
        <f t="shared" si="154"/>
        <v>4.899388113606684</v>
      </c>
      <c r="CL52" s="187">
        <f t="shared" si="154"/>
        <v>4.562508070743732</v>
      </c>
      <c r="CM52" s="187">
        <f t="shared" si="154"/>
        <v>4.223662894297412</v>
      </c>
      <c r="CN52" s="187">
        <f t="shared" si="154"/>
        <v>3.882841120988489</v>
      </c>
      <c r="CO52" s="188">
        <f>SUM(CC52:CN52)</f>
        <v>68.65910120498523</v>
      </c>
      <c r="CP52" s="187">
        <f aca="true" t="shared" si="155" ref="CP52:DA52">CO55*$B48/12</f>
        <v>3.540031220668597</v>
      </c>
      <c r="CQ52" s="187">
        <f t="shared" si="155"/>
        <v>3.195221595930173</v>
      </c>
      <c r="CR52" s="187">
        <f t="shared" si="155"/>
        <v>2.8484005817141074</v>
      </c>
      <c r="CS52" s="187">
        <f t="shared" si="155"/>
        <v>2.499556444915115</v>
      </c>
      <c r="CT52" s="187">
        <f t="shared" si="155"/>
        <v>2.1486773839847952</v>
      </c>
      <c r="CU52" s="187">
        <f t="shared" si="155"/>
        <v>1.7957515285323817</v>
      </c>
      <c r="CV52" s="187">
        <f t="shared" si="155"/>
        <v>1.4407669389231625</v>
      </c>
      <c r="CW52" s="187">
        <f t="shared" si="155"/>
        <v>1.0837116058745566</v>
      </c>
      <c r="CX52" s="187">
        <f t="shared" si="155"/>
        <v>0.7245734500498334</v>
      </c>
      <c r="CY52" s="187">
        <f t="shared" si="155"/>
        <v>0.363340321649466</v>
      </c>
      <c r="CZ52" s="187">
        <f t="shared" si="155"/>
        <v>9.653315184247429E-14</v>
      </c>
      <c r="DA52" s="187">
        <f t="shared" si="155"/>
        <v>9.653315184247429E-14</v>
      </c>
      <c r="DB52" s="188">
        <f>SUM(CP52:DA52)</f>
        <v>19.64003107224238</v>
      </c>
      <c r="DC52" s="187">
        <f aca="true" t="shared" si="156" ref="DC52:DN52">DB55*$B48/12</f>
        <v>9.653315184247429E-14</v>
      </c>
      <c r="DD52" s="187">
        <f t="shared" si="156"/>
        <v>9.653315184247429E-14</v>
      </c>
      <c r="DE52" s="187">
        <f t="shared" si="156"/>
        <v>9.653315184247429E-14</v>
      </c>
      <c r="DF52" s="187">
        <f t="shared" si="156"/>
        <v>9.653315184247429E-14</v>
      </c>
      <c r="DG52" s="187">
        <f t="shared" si="156"/>
        <v>9.653315184247429E-14</v>
      </c>
      <c r="DH52" s="187">
        <f t="shared" si="156"/>
        <v>9.653315184247429E-14</v>
      </c>
      <c r="DI52" s="187">
        <f t="shared" si="156"/>
        <v>9.653315184247429E-14</v>
      </c>
      <c r="DJ52" s="187">
        <f t="shared" si="156"/>
        <v>9.653315184247429E-14</v>
      </c>
      <c r="DK52" s="187">
        <f t="shared" si="156"/>
        <v>9.653315184247429E-14</v>
      </c>
      <c r="DL52" s="187">
        <f t="shared" si="156"/>
        <v>9.653315184247429E-14</v>
      </c>
      <c r="DM52" s="187">
        <f t="shared" si="156"/>
        <v>9.653315184247429E-14</v>
      </c>
      <c r="DN52" s="187">
        <f t="shared" si="156"/>
        <v>9.653315184247429E-14</v>
      </c>
      <c r="DO52" s="188">
        <f>SUM(DC52:DN52)</f>
        <v>1.1583978221096917E-12</v>
      </c>
    </row>
    <row r="53" spans="1:119" ht="12.75">
      <c r="A53" s="181" t="s">
        <v>11</v>
      </c>
      <c r="B53" s="186">
        <f>O53+AB53+AO53+BB53+BO53+CB53+CO53+DB53+DO53</f>
        <v>3674.715749999984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92"/>
      <c r="N53" s="192"/>
      <c r="O53" s="188">
        <f>SUM(C53:N53)</f>
        <v>0</v>
      </c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87">
        <f>$B57-Z52</f>
        <v>41.21441072939852</v>
      </c>
      <c r="AA53" s="187">
        <f>$B57-AA52</f>
        <v>41.454828125320006</v>
      </c>
      <c r="AB53" s="188">
        <f>SUM(P53:AA53)</f>
        <v>82.66923885471853</v>
      </c>
      <c r="AC53" s="187">
        <f aca="true" t="shared" si="157" ref="AC53:AH53">$B57-AC52</f>
        <v>41.69664795605104</v>
      </c>
      <c r="AD53" s="187">
        <f t="shared" si="157"/>
        <v>41.93987840246134</v>
      </c>
      <c r="AE53" s="187">
        <f t="shared" si="157"/>
        <v>42.184527693142364</v>
      </c>
      <c r="AF53" s="187">
        <f t="shared" si="157"/>
        <v>42.4306041046857</v>
      </c>
      <c r="AG53" s="187">
        <f t="shared" si="157"/>
        <v>42.67811596196303</v>
      </c>
      <c r="AH53" s="187">
        <f t="shared" si="157"/>
        <v>42.92707163840781</v>
      </c>
      <c r="AI53" s="187">
        <f aca="true" t="shared" si="158" ref="AI53:AN53">$B57-AI52</f>
        <v>43.17747955629852</v>
      </c>
      <c r="AJ53" s="187">
        <f t="shared" si="158"/>
        <v>43.4293481870436</v>
      </c>
      <c r="AK53" s="187">
        <f t="shared" si="158"/>
        <v>43.68268605146802</v>
      </c>
      <c r="AL53" s="187">
        <f t="shared" si="158"/>
        <v>43.93750172010158</v>
      </c>
      <c r="AM53" s="187">
        <f t="shared" si="158"/>
        <v>44.19380381346884</v>
      </c>
      <c r="AN53" s="187">
        <f t="shared" si="158"/>
        <v>44.45160100238074</v>
      </c>
      <c r="AO53" s="188">
        <f>SUM(AC53:AN53)</f>
        <v>516.7292660874726</v>
      </c>
      <c r="AP53" s="187">
        <f aca="true" t="shared" si="159" ref="AP53:BA53">$B57-AP52</f>
        <v>44.71090200822796</v>
      </c>
      <c r="AQ53" s="187">
        <f t="shared" si="159"/>
        <v>44.97171560327596</v>
      </c>
      <c r="AR53" s="187">
        <f t="shared" si="159"/>
        <v>45.23405061096174</v>
      </c>
      <c r="AS53" s="187">
        <f t="shared" si="159"/>
        <v>45.49791590619235</v>
      </c>
      <c r="AT53" s="187">
        <f t="shared" si="159"/>
        <v>45.76332041564514</v>
      </c>
      <c r="AU53" s="187">
        <f t="shared" si="159"/>
        <v>46.03027311806973</v>
      </c>
      <c r="AV53" s="187">
        <f t="shared" si="159"/>
        <v>46.2987830445918</v>
      </c>
      <c r="AW53" s="187">
        <f t="shared" si="159"/>
        <v>46.56885927901859</v>
      </c>
      <c r="AX53" s="187">
        <f t="shared" si="159"/>
        <v>46.8405109581462</v>
      </c>
      <c r="AY53" s="187">
        <f t="shared" si="159"/>
        <v>47.113747272068714</v>
      </c>
      <c r="AZ53" s="187">
        <f t="shared" si="159"/>
        <v>47.38857746448912</v>
      </c>
      <c r="BA53" s="187">
        <f t="shared" si="159"/>
        <v>47.66501083303197</v>
      </c>
      <c r="BB53" s="188">
        <f>SUM(AP53:BA53)</f>
        <v>554.0836665137192</v>
      </c>
      <c r="BC53" s="187">
        <f aca="true" t="shared" si="160" ref="BC53:BN53">$B57-BC52</f>
        <v>47.94305672955799</v>
      </c>
      <c r="BD53" s="187">
        <f t="shared" si="160"/>
        <v>48.222724560480415</v>
      </c>
      <c r="BE53" s="187">
        <f t="shared" si="160"/>
        <v>48.50402378708321</v>
      </c>
      <c r="BF53" s="187">
        <f t="shared" si="160"/>
        <v>48.7869639258412</v>
      </c>
      <c r="BG53" s="187">
        <f t="shared" si="160"/>
        <v>49.071554548741936</v>
      </c>
      <c r="BH53" s="187">
        <f t="shared" si="160"/>
        <v>49.3578052836096</v>
      </c>
      <c r="BI53" s="187">
        <f t="shared" si="160"/>
        <v>49.645725814430655</v>
      </c>
      <c r="BJ53" s="187">
        <f t="shared" si="160"/>
        <v>49.9353258816815</v>
      </c>
      <c r="BK53" s="187">
        <f t="shared" si="160"/>
        <v>50.226615282657974</v>
      </c>
      <c r="BL53" s="187">
        <f t="shared" si="160"/>
        <v>50.519603871806815</v>
      </c>
      <c r="BM53" s="187">
        <f t="shared" si="160"/>
        <v>50.81430156105902</v>
      </c>
      <c r="BN53" s="187">
        <f t="shared" si="160"/>
        <v>51.1107183201652</v>
      </c>
      <c r="BO53" s="188">
        <f>SUM(BC53:BN53)</f>
        <v>594.1384195671155</v>
      </c>
      <c r="BP53" s="187">
        <f aca="true" t="shared" si="161" ref="BP53:CA53">$B57-BP52</f>
        <v>51.408864177032825</v>
      </c>
      <c r="BQ53" s="187">
        <f t="shared" si="161"/>
        <v>51.70874921806552</v>
      </c>
      <c r="BR53" s="187">
        <f t="shared" si="161"/>
        <v>52.01038358850423</v>
      </c>
      <c r="BS53" s="187">
        <f t="shared" si="161"/>
        <v>52.31377749277051</v>
      </c>
      <c r="BT53" s="187">
        <f t="shared" si="161"/>
        <v>52.61894119481167</v>
      </c>
      <c r="BU53" s="187">
        <f t="shared" si="161"/>
        <v>52.92588501844807</v>
      </c>
      <c r="BV53" s="187">
        <f t="shared" si="161"/>
        <v>53.23461934772235</v>
      </c>
      <c r="BW53" s="187">
        <f t="shared" si="161"/>
        <v>53.54515462725073</v>
      </c>
      <c r="BX53" s="187">
        <f t="shared" si="161"/>
        <v>53.857501362576365</v>
      </c>
      <c r="BY53" s="187">
        <f t="shared" si="161"/>
        <v>54.17167012052472</v>
      </c>
      <c r="BZ53" s="187">
        <f t="shared" si="161"/>
        <v>54.48767152956112</v>
      </c>
      <c r="CA53" s="187">
        <f t="shared" si="161"/>
        <v>54.80551628015023</v>
      </c>
      <c r="CB53" s="188">
        <f>SUM(BP53:CA53)</f>
        <v>637.0887339574183</v>
      </c>
      <c r="CC53" s="187">
        <f aca="true" t="shared" si="162" ref="CC53:CN53">$B57-CC52</f>
        <v>55.12521512511777</v>
      </c>
      <c r="CD53" s="187">
        <f t="shared" si="162"/>
        <v>55.44677888001429</v>
      </c>
      <c r="CE53" s="187">
        <f t="shared" si="162"/>
        <v>55.77021842348104</v>
      </c>
      <c r="CF53" s="187">
        <f t="shared" si="162"/>
        <v>56.09554469761801</v>
      </c>
      <c r="CG53" s="187">
        <f t="shared" si="162"/>
        <v>56.42276870835412</v>
      </c>
      <c r="CH53" s="187">
        <f t="shared" si="162"/>
        <v>56.75190152581952</v>
      </c>
      <c r="CI53" s="187">
        <f t="shared" si="162"/>
        <v>57.08295428472013</v>
      </c>
      <c r="CJ53" s="187">
        <f t="shared" si="162"/>
        <v>57.415938184714335</v>
      </c>
      <c r="CK53" s="187">
        <f t="shared" si="162"/>
        <v>57.750864490791834</v>
      </c>
      <c r="CL53" s="187">
        <f t="shared" si="162"/>
        <v>58.087744533654785</v>
      </c>
      <c r="CM53" s="187">
        <f t="shared" si="162"/>
        <v>58.426589710101105</v>
      </c>
      <c r="CN53" s="187">
        <f t="shared" si="162"/>
        <v>58.76741148341003</v>
      </c>
      <c r="CO53" s="188">
        <f>SUM(CC53:CN53)</f>
        <v>683.143930047797</v>
      </c>
      <c r="CP53" s="187">
        <f aca="true" t="shared" si="163" ref="CP53:CY53">$B57-CP52</f>
        <v>59.11022138372992</v>
      </c>
      <c r="CQ53" s="187">
        <f t="shared" si="163"/>
        <v>59.455031008468346</v>
      </c>
      <c r="CR53" s="187">
        <f t="shared" si="163"/>
        <v>59.80185202268441</v>
      </c>
      <c r="CS53" s="187">
        <f t="shared" si="163"/>
        <v>60.1506961594834</v>
      </c>
      <c r="CT53" s="187">
        <f t="shared" si="163"/>
        <v>60.50157522041372</v>
      </c>
      <c r="CU53" s="187">
        <f t="shared" si="163"/>
        <v>60.85450107586613</v>
      </c>
      <c r="CV53" s="187">
        <f t="shared" si="163"/>
        <v>61.209485665475356</v>
      </c>
      <c r="CW53" s="187">
        <f t="shared" si="163"/>
        <v>61.56654099852396</v>
      </c>
      <c r="CX53" s="187">
        <f t="shared" si="163"/>
        <v>61.925679154348686</v>
      </c>
      <c r="CY53" s="187">
        <f t="shared" si="163"/>
        <v>62.28691228274905</v>
      </c>
      <c r="CZ53" s="187"/>
      <c r="DA53" s="187"/>
      <c r="DB53" s="188">
        <f>SUM(CP53:DA53)</f>
        <v>606.8624949717431</v>
      </c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8">
        <f>SUM(DC53:DN53)</f>
        <v>0</v>
      </c>
    </row>
    <row r="54" spans="1:119" ht="12.75">
      <c r="A54" s="181" t="s">
        <v>12</v>
      </c>
      <c r="B54" s="186">
        <f>O54+AB54+AO54+BB54+BO54+CB54+CO54+DB54+DO54</f>
        <v>964.7174887667104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92"/>
      <c r="N54" s="192"/>
      <c r="O54" s="188">
        <f>SUM(C54:N54)</f>
        <v>0</v>
      </c>
      <c r="P54" s="192"/>
      <c r="Q54" s="192"/>
      <c r="R54" s="192"/>
      <c r="S54" s="192"/>
      <c r="T54" s="187">
        <f aca="true" t="shared" si="164" ref="T54:AA54">T52</f>
        <v>21.435841874999998</v>
      </c>
      <c r="U54" s="187">
        <f t="shared" si="164"/>
        <v>21.435841874999998</v>
      </c>
      <c r="V54" s="187">
        <f t="shared" si="164"/>
        <v>21.435841874999998</v>
      </c>
      <c r="W54" s="187">
        <f t="shared" si="164"/>
        <v>21.435841874999998</v>
      </c>
      <c r="X54" s="187">
        <f t="shared" si="164"/>
        <v>21.435841874999998</v>
      </c>
      <c r="Y54" s="187">
        <f t="shared" si="164"/>
        <v>21.435841874999998</v>
      </c>
      <c r="Z54" s="187">
        <f t="shared" si="164"/>
        <v>21.435841874999998</v>
      </c>
      <c r="AA54" s="187">
        <f t="shared" si="164"/>
        <v>21.19542447907851</v>
      </c>
      <c r="AB54" s="188">
        <f>SUM(P54:AA54)</f>
        <v>171.2463176040785</v>
      </c>
      <c r="AC54" s="187">
        <f aca="true" t="shared" si="165" ref="AC54:AK54">AC52</f>
        <v>20.953604648347476</v>
      </c>
      <c r="AD54" s="187">
        <f t="shared" si="165"/>
        <v>20.710374201937178</v>
      </c>
      <c r="AE54" s="187">
        <f t="shared" si="165"/>
        <v>20.465724911256153</v>
      </c>
      <c r="AF54" s="187">
        <f t="shared" si="165"/>
        <v>20.21964849971282</v>
      </c>
      <c r="AG54" s="187">
        <f t="shared" si="165"/>
        <v>19.97213664243549</v>
      </c>
      <c r="AH54" s="187">
        <f t="shared" si="165"/>
        <v>19.723180965990704</v>
      </c>
      <c r="AI54" s="187">
        <f t="shared" si="165"/>
        <v>19.472773048099995</v>
      </c>
      <c r="AJ54" s="187">
        <f t="shared" si="165"/>
        <v>19.22090441735492</v>
      </c>
      <c r="AK54" s="187">
        <f t="shared" si="165"/>
        <v>18.9675665529305</v>
      </c>
      <c r="AL54" s="187">
        <f>AL52</f>
        <v>18.712750884296938</v>
      </c>
      <c r="AM54" s="187">
        <f>AM52</f>
        <v>18.456448790929677</v>
      </c>
      <c r="AN54" s="187">
        <f>AN52</f>
        <v>18.198651602017776</v>
      </c>
      <c r="AO54" s="188">
        <f>SUM(AC54:AN54)</f>
        <v>235.0737651653096</v>
      </c>
      <c r="AP54" s="187">
        <f aca="true" t="shared" si="166" ref="AP54:BA54">AP52</f>
        <v>17.939350596170552</v>
      </c>
      <c r="AQ54" s="187">
        <f t="shared" si="166"/>
        <v>17.678537001122557</v>
      </c>
      <c r="AR54" s="187">
        <f t="shared" si="166"/>
        <v>17.41620199343678</v>
      </c>
      <c r="AS54" s="187">
        <f t="shared" si="166"/>
        <v>17.15233669820617</v>
      </c>
      <c r="AT54" s="187">
        <f t="shared" si="166"/>
        <v>16.88693218875338</v>
      </c>
      <c r="AU54" s="187">
        <f t="shared" si="166"/>
        <v>16.619979486328784</v>
      </c>
      <c r="AV54" s="187">
        <f t="shared" si="166"/>
        <v>16.351469559806713</v>
      </c>
      <c r="AW54" s="187">
        <f t="shared" si="166"/>
        <v>16.081393325379928</v>
      </c>
      <c r="AX54" s="187">
        <f t="shared" si="166"/>
        <v>15.80974164625232</v>
      </c>
      <c r="AY54" s="187">
        <f t="shared" si="166"/>
        <v>15.536505332329801</v>
      </c>
      <c r="AZ54" s="187">
        <f t="shared" si="166"/>
        <v>15.2616751399094</v>
      </c>
      <c r="BA54" s="187">
        <f t="shared" si="166"/>
        <v>14.985241771366546</v>
      </c>
      <c r="BB54" s="188">
        <f>SUM(AP54:BA54)</f>
        <v>197.71936473906288</v>
      </c>
      <c r="BC54" s="187">
        <f aca="true" t="shared" si="167" ref="BC54:BN54">BC52</f>
        <v>14.707195874840528</v>
      </c>
      <c r="BD54" s="187">
        <f t="shared" si="167"/>
        <v>14.427528043918104</v>
      </c>
      <c r="BE54" s="187">
        <f t="shared" si="167"/>
        <v>14.146228817315302</v>
      </c>
      <c r="BF54" s="187">
        <f t="shared" si="167"/>
        <v>13.863288678557318</v>
      </c>
      <c r="BG54" s="187">
        <f t="shared" si="167"/>
        <v>13.578698055656579</v>
      </c>
      <c r="BH54" s="187">
        <f t="shared" si="167"/>
        <v>13.292447320788916</v>
      </c>
      <c r="BI54" s="187">
        <f t="shared" si="167"/>
        <v>13.00452678996786</v>
      </c>
      <c r="BJ54" s="187">
        <f t="shared" si="167"/>
        <v>12.714926722717017</v>
      </c>
      <c r="BK54" s="187">
        <f t="shared" si="167"/>
        <v>12.423637321740541</v>
      </c>
      <c r="BL54" s="187">
        <f t="shared" si="167"/>
        <v>12.130648732591704</v>
      </c>
      <c r="BM54" s="187">
        <f t="shared" si="167"/>
        <v>11.835951043339499</v>
      </c>
      <c r="BN54" s="187">
        <f t="shared" si="167"/>
        <v>11.53953428423332</v>
      </c>
      <c r="BO54" s="188">
        <f>SUM(BC54:BN54)</f>
        <v>157.66461168566667</v>
      </c>
      <c r="BP54" s="187">
        <f aca="true" t="shared" si="168" ref="BP54:CA54">BP52</f>
        <v>11.24138842736569</v>
      </c>
      <c r="BQ54" s="187">
        <f t="shared" si="168"/>
        <v>10.941503386332997</v>
      </c>
      <c r="BR54" s="187">
        <f t="shared" si="168"/>
        <v>10.639869015894282</v>
      </c>
      <c r="BS54" s="187">
        <f t="shared" si="168"/>
        <v>10.336475111628006</v>
      </c>
      <c r="BT54" s="187">
        <f t="shared" si="168"/>
        <v>10.031311409586847</v>
      </c>
      <c r="BU54" s="187">
        <f t="shared" si="168"/>
        <v>9.724367585950445</v>
      </c>
      <c r="BV54" s="187">
        <f t="shared" si="168"/>
        <v>9.415633256676164</v>
      </c>
      <c r="BW54" s="187">
        <f t="shared" si="168"/>
        <v>9.105097977147784</v>
      </c>
      <c r="BX54" s="187">
        <f t="shared" si="168"/>
        <v>8.792751241822154</v>
      </c>
      <c r="BY54" s="187">
        <f t="shared" si="168"/>
        <v>8.478582483873792</v>
      </c>
      <c r="BZ54" s="187">
        <f t="shared" si="168"/>
        <v>8.162581074837396</v>
      </c>
      <c r="CA54" s="187">
        <f t="shared" si="168"/>
        <v>7.844736324248291</v>
      </c>
      <c r="CB54" s="188">
        <f>SUM(BP54:CA54)</f>
        <v>114.71429729536385</v>
      </c>
      <c r="CC54" s="187">
        <f aca="true" t="shared" si="169" ref="CC54:CN54">CC52</f>
        <v>7.525037479280748</v>
      </c>
      <c r="CD54" s="187">
        <f t="shared" si="169"/>
        <v>7.203473724384227</v>
      </c>
      <c r="CE54" s="187">
        <f t="shared" si="169"/>
        <v>6.880034180917477</v>
      </c>
      <c r="CF54" s="187">
        <f t="shared" si="169"/>
        <v>6.554707906780504</v>
      </c>
      <c r="CG54" s="187">
        <f t="shared" si="169"/>
        <v>6.2274838960444</v>
      </c>
      <c r="CH54" s="187">
        <f t="shared" si="169"/>
        <v>5.898351078579</v>
      </c>
      <c r="CI54" s="187">
        <f t="shared" si="169"/>
        <v>5.567298319678386</v>
      </c>
      <c r="CJ54" s="187">
        <f t="shared" si="169"/>
        <v>5.234314419684185</v>
      </c>
      <c r="CK54" s="187">
        <f t="shared" si="169"/>
        <v>4.899388113606684</v>
      </c>
      <c r="CL54" s="187">
        <f t="shared" si="169"/>
        <v>4.562508070743732</v>
      </c>
      <c r="CM54" s="187">
        <f t="shared" si="169"/>
        <v>4.223662894297412</v>
      </c>
      <c r="CN54" s="187">
        <f t="shared" si="169"/>
        <v>3.882841120988489</v>
      </c>
      <c r="CO54" s="188">
        <f>SUM(CC54:CN54)</f>
        <v>68.65910120498523</v>
      </c>
      <c r="CP54" s="187">
        <f aca="true" t="shared" si="170" ref="CP54:DA54">CP52</f>
        <v>3.540031220668597</v>
      </c>
      <c r="CQ54" s="187">
        <f t="shared" si="170"/>
        <v>3.195221595930173</v>
      </c>
      <c r="CR54" s="187">
        <f t="shared" si="170"/>
        <v>2.8484005817141074</v>
      </c>
      <c r="CS54" s="187">
        <f t="shared" si="170"/>
        <v>2.499556444915115</v>
      </c>
      <c r="CT54" s="187">
        <f t="shared" si="170"/>
        <v>2.1486773839847952</v>
      </c>
      <c r="CU54" s="187">
        <f t="shared" si="170"/>
        <v>1.7957515285323817</v>
      </c>
      <c r="CV54" s="187">
        <f t="shared" si="170"/>
        <v>1.4407669389231625</v>
      </c>
      <c r="CW54" s="187">
        <f t="shared" si="170"/>
        <v>1.0837116058745566</v>
      </c>
      <c r="CX54" s="187">
        <f t="shared" si="170"/>
        <v>0.7245734500498334</v>
      </c>
      <c r="CY54" s="187">
        <f t="shared" si="170"/>
        <v>0.363340321649466</v>
      </c>
      <c r="CZ54" s="187">
        <f t="shared" si="170"/>
        <v>9.653315184247429E-14</v>
      </c>
      <c r="DA54" s="187">
        <f t="shared" si="170"/>
        <v>9.653315184247429E-14</v>
      </c>
      <c r="DB54" s="188">
        <f>SUM(CP54:DA54)</f>
        <v>19.64003107224238</v>
      </c>
      <c r="DC54" s="187">
        <f aca="true" t="shared" si="171" ref="DC54:DN54">DC52</f>
        <v>9.653315184247429E-14</v>
      </c>
      <c r="DD54" s="187">
        <f t="shared" si="171"/>
        <v>9.653315184247429E-14</v>
      </c>
      <c r="DE54" s="187">
        <f t="shared" si="171"/>
        <v>9.653315184247429E-14</v>
      </c>
      <c r="DF54" s="187">
        <f t="shared" si="171"/>
        <v>9.653315184247429E-14</v>
      </c>
      <c r="DG54" s="187">
        <f t="shared" si="171"/>
        <v>9.653315184247429E-14</v>
      </c>
      <c r="DH54" s="187">
        <f t="shared" si="171"/>
        <v>9.653315184247429E-14</v>
      </c>
      <c r="DI54" s="187">
        <f t="shared" si="171"/>
        <v>9.653315184247429E-14</v>
      </c>
      <c r="DJ54" s="187">
        <f t="shared" si="171"/>
        <v>9.653315184247429E-14</v>
      </c>
      <c r="DK54" s="187">
        <f t="shared" si="171"/>
        <v>9.653315184247429E-14</v>
      </c>
      <c r="DL54" s="187">
        <f t="shared" si="171"/>
        <v>9.653315184247429E-14</v>
      </c>
      <c r="DM54" s="187">
        <f t="shared" si="171"/>
        <v>9.653315184247429E-14</v>
      </c>
      <c r="DN54" s="187">
        <f t="shared" si="171"/>
        <v>9.653315184247429E-14</v>
      </c>
      <c r="DO54" s="188">
        <f>SUM(DC54:DN54)</f>
        <v>1.1583978221096917E-12</v>
      </c>
    </row>
    <row r="55" spans="1:119" ht="12.75">
      <c r="A55" s="181" t="s">
        <v>13</v>
      </c>
      <c r="B55" s="186">
        <f>DO55</f>
        <v>1.6548540315852733E-11</v>
      </c>
      <c r="C55" s="187">
        <f>C50</f>
        <v>0</v>
      </c>
      <c r="D55" s="187">
        <f aca="true" t="shared" si="172" ref="D55:N55">C55+D50-D53+D51</f>
        <v>0</v>
      </c>
      <c r="E55" s="187">
        <f t="shared" si="172"/>
        <v>0</v>
      </c>
      <c r="F55" s="187">
        <f t="shared" si="172"/>
        <v>0</v>
      </c>
      <c r="G55" s="187">
        <f t="shared" si="172"/>
        <v>0</v>
      </c>
      <c r="H55" s="187">
        <f t="shared" si="172"/>
        <v>0</v>
      </c>
      <c r="I55" s="187">
        <f t="shared" si="172"/>
        <v>0</v>
      </c>
      <c r="J55" s="187">
        <f t="shared" si="172"/>
        <v>0</v>
      </c>
      <c r="K55" s="187">
        <f t="shared" si="172"/>
        <v>0</v>
      </c>
      <c r="L55" s="187">
        <f t="shared" si="172"/>
        <v>3550.45</v>
      </c>
      <c r="M55" s="187">
        <f t="shared" si="172"/>
        <v>3550.45</v>
      </c>
      <c r="N55" s="187">
        <f t="shared" si="172"/>
        <v>3550.45</v>
      </c>
      <c r="O55" s="188">
        <f>N55</f>
        <v>3550.45</v>
      </c>
      <c r="P55" s="187">
        <f aca="true" t="shared" si="173" ref="P55:AA55">O55+P50-P53+P51</f>
        <v>3550.45</v>
      </c>
      <c r="Q55" s="187">
        <f t="shared" si="173"/>
        <v>3550.45</v>
      </c>
      <c r="R55" s="187">
        <f t="shared" si="173"/>
        <v>3550.45</v>
      </c>
      <c r="S55" s="187">
        <f t="shared" si="173"/>
        <v>3674.71575</v>
      </c>
      <c r="T55" s="187">
        <f t="shared" si="173"/>
        <v>3674.71575</v>
      </c>
      <c r="U55" s="187">
        <f t="shared" si="173"/>
        <v>3674.71575</v>
      </c>
      <c r="V55" s="187">
        <f t="shared" si="173"/>
        <v>3674.71575</v>
      </c>
      <c r="W55" s="187">
        <f t="shared" si="173"/>
        <v>3674.71575</v>
      </c>
      <c r="X55" s="187">
        <f t="shared" si="173"/>
        <v>3674.71575</v>
      </c>
      <c r="Y55" s="187">
        <f t="shared" si="173"/>
        <v>3674.71575</v>
      </c>
      <c r="Z55" s="187">
        <f t="shared" si="173"/>
        <v>3633.5013392706014</v>
      </c>
      <c r="AA55" s="187">
        <f t="shared" si="173"/>
        <v>3592.0465111452813</v>
      </c>
      <c r="AB55" s="188">
        <f>AA55</f>
        <v>3592.0465111452813</v>
      </c>
      <c r="AC55" s="187">
        <f aca="true" t="shared" si="174" ref="AC55:AN55">AB55+AC50-AC53+AC51</f>
        <v>3550.3498631892303</v>
      </c>
      <c r="AD55" s="187">
        <f t="shared" si="174"/>
        <v>3508.4099847867687</v>
      </c>
      <c r="AE55" s="187">
        <f t="shared" si="174"/>
        <v>3466.2254570936266</v>
      </c>
      <c r="AF55" s="187">
        <f t="shared" si="174"/>
        <v>3423.794852988941</v>
      </c>
      <c r="AG55" s="187">
        <f t="shared" si="174"/>
        <v>3381.1167370269777</v>
      </c>
      <c r="AH55" s="187">
        <f t="shared" si="174"/>
        <v>3338.18966538857</v>
      </c>
      <c r="AI55" s="187">
        <f t="shared" si="174"/>
        <v>3295.012185832272</v>
      </c>
      <c r="AJ55" s="187">
        <f t="shared" si="174"/>
        <v>3251.582837645228</v>
      </c>
      <c r="AK55" s="187">
        <f t="shared" si="174"/>
        <v>3207.9001515937603</v>
      </c>
      <c r="AL55" s="187">
        <f t="shared" si="174"/>
        <v>3163.962649873659</v>
      </c>
      <c r="AM55" s="187">
        <f t="shared" si="174"/>
        <v>3119.76884606019</v>
      </c>
      <c r="AN55" s="187">
        <f t="shared" si="174"/>
        <v>3075.317245057809</v>
      </c>
      <c r="AO55" s="188">
        <f>AN55</f>
        <v>3075.317245057809</v>
      </c>
      <c r="AP55" s="187">
        <f aca="true" t="shared" si="175" ref="AP55:BA55">AO55+AP50-AP53+AP51</f>
        <v>3030.606343049581</v>
      </c>
      <c r="AQ55" s="187">
        <f t="shared" si="175"/>
        <v>2985.634627446305</v>
      </c>
      <c r="AR55" s="187">
        <f t="shared" si="175"/>
        <v>2940.400576835343</v>
      </c>
      <c r="AS55" s="187">
        <f t="shared" si="175"/>
        <v>2894.902660929151</v>
      </c>
      <c r="AT55" s="187">
        <f t="shared" si="175"/>
        <v>2849.139340513506</v>
      </c>
      <c r="AU55" s="187">
        <f t="shared" si="175"/>
        <v>2803.1090673954363</v>
      </c>
      <c r="AV55" s="187">
        <f t="shared" si="175"/>
        <v>2756.8102843508445</v>
      </c>
      <c r="AW55" s="187">
        <f t="shared" si="175"/>
        <v>2710.241425071826</v>
      </c>
      <c r="AX55" s="187">
        <f t="shared" si="175"/>
        <v>2663.40091411368</v>
      </c>
      <c r="AY55" s="187">
        <f t="shared" si="175"/>
        <v>2616.287166841611</v>
      </c>
      <c r="AZ55" s="187">
        <f t="shared" si="175"/>
        <v>2568.898589377122</v>
      </c>
      <c r="BA55" s="187">
        <f t="shared" si="175"/>
        <v>2521.23357854409</v>
      </c>
      <c r="BB55" s="188">
        <f>BA55</f>
        <v>2521.23357854409</v>
      </c>
      <c r="BC55" s="187">
        <f aca="true" t="shared" si="176" ref="BC55:BN55">BB55+BC50-BC53+BC51</f>
        <v>2473.290521814532</v>
      </c>
      <c r="BD55" s="187">
        <f t="shared" si="176"/>
        <v>2425.0677972540516</v>
      </c>
      <c r="BE55" s="187">
        <f t="shared" si="176"/>
        <v>2376.5637734669685</v>
      </c>
      <c r="BF55" s="187">
        <f t="shared" si="176"/>
        <v>2327.7768095411275</v>
      </c>
      <c r="BG55" s="187">
        <f t="shared" si="176"/>
        <v>2278.7052549923856</v>
      </c>
      <c r="BH55" s="187">
        <f t="shared" si="176"/>
        <v>2229.347449708776</v>
      </c>
      <c r="BI55" s="187">
        <f t="shared" si="176"/>
        <v>2179.7017238943454</v>
      </c>
      <c r="BJ55" s="187">
        <f t="shared" si="176"/>
        <v>2129.766398012664</v>
      </c>
      <c r="BK55" s="187">
        <f t="shared" si="176"/>
        <v>2079.539782730006</v>
      </c>
      <c r="BL55" s="187">
        <f t="shared" si="176"/>
        <v>2029.0201788581994</v>
      </c>
      <c r="BM55" s="187">
        <f t="shared" si="176"/>
        <v>1978.2058772971404</v>
      </c>
      <c r="BN55" s="187">
        <f t="shared" si="176"/>
        <v>1927.0951589769752</v>
      </c>
      <c r="BO55" s="188">
        <f>BN55</f>
        <v>1927.0951589769752</v>
      </c>
      <c r="BP55" s="187">
        <f aca="true" t="shared" si="177" ref="BP55:CA55">BO55+BP50-BP53+BP51</f>
        <v>1875.6862947999423</v>
      </c>
      <c r="BQ55" s="187">
        <f t="shared" si="177"/>
        <v>1823.9775455818767</v>
      </c>
      <c r="BR55" s="187">
        <f t="shared" si="177"/>
        <v>1771.9671619933724</v>
      </c>
      <c r="BS55" s="187">
        <f t="shared" si="177"/>
        <v>1719.653384500602</v>
      </c>
      <c r="BT55" s="187">
        <f t="shared" si="177"/>
        <v>1667.0344433057903</v>
      </c>
      <c r="BU55" s="187">
        <f t="shared" si="177"/>
        <v>1614.1085582873422</v>
      </c>
      <c r="BV55" s="187">
        <f t="shared" si="177"/>
        <v>1560.8739389396198</v>
      </c>
      <c r="BW55" s="187">
        <f t="shared" si="177"/>
        <v>1507.3287843123692</v>
      </c>
      <c r="BX55" s="187">
        <f t="shared" si="177"/>
        <v>1453.4712829497928</v>
      </c>
      <c r="BY55" s="187">
        <f t="shared" si="177"/>
        <v>1399.299612829268</v>
      </c>
      <c r="BZ55" s="187">
        <f t="shared" si="177"/>
        <v>1344.8119412997069</v>
      </c>
      <c r="CA55" s="187">
        <f t="shared" si="177"/>
        <v>1290.0064250195567</v>
      </c>
      <c r="CB55" s="188">
        <f>CA55</f>
        <v>1290.0064250195567</v>
      </c>
      <c r="CC55" s="187">
        <f aca="true" t="shared" si="178" ref="CC55:CN55">CB55+CC50-CC53+CC51</f>
        <v>1234.8812098944388</v>
      </c>
      <c r="CD55" s="187">
        <f t="shared" si="178"/>
        <v>1179.4344310144245</v>
      </c>
      <c r="CE55" s="187">
        <f t="shared" si="178"/>
        <v>1123.6642125909434</v>
      </c>
      <c r="CF55" s="187">
        <f t="shared" si="178"/>
        <v>1067.5686678933255</v>
      </c>
      <c r="CG55" s="187">
        <f t="shared" si="178"/>
        <v>1011.1458991849713</v>
      </c>
      <c r="CH55" s="187">
        <f t="shared" si="178"/>
        <v>954.3939976591518</v>
      </c>
      <c r="CI55" s="187">
        <f t="shared" si="178"/>
        <v>897.3110433744316</v>
      </c>
      <c r="CJ55" s="187">
        <f t="shared" si="178"/>
        <v>839.8951051897172</v>
      </c>
      <c r="CK55" s="187">
        <f t="shared" si="178"/>
        <v>782.1442406989254</v>
      </c>
      <c r="CL55" s="187">
        <f t="shared" si="178"/>
        <v>724.0564961652706</v>
      </c>
      <c r="CM55" s="187">
        <f t="shared" si="178"/>
        <v>665.6299064551695</v>
      </c>
      <c r="CN55" s="187">
        <f t="shared" si="178"/>
        <v>606.8624949717595</v>
      </c>
      <c r="CO55" s="188">
        <f>CN55</f>
        <v>606.8624949717595</v>
      </c>
      <c r="CP55" s="187">
        <f aca="true" t="shared" si="179" ref="CP55:DA55">CO55+CP50-CP53+CP51</f>
        <v>547.7522735880295</v>
      </c>
      <c r="CQ55" s="187">
        <f t="shared" si="179"/>
        <v>488.2972425795612</v>
      </c>
      <c r="CR55" s="187">
        <f t="shared" si="179"/>
        <v>428.4953905568768</v>
      </c>
      <c r="CS55" s="187">
        <f t="shared" si="179"/>
        <v>368.3446943973934</v>
      </c>
      <c r="CT55" s="187">
        <f t="shared" si="179"/>
        <v>307.8431191769797</v>
      </c>
      <c r="CU55" s="187">
        <f t="shared" si="179"/>
        <v>246.9886181011136</v>
      </c>
      <c r="CV55" s="187">
        <f t="shared" si="179"/>
        <v>185.77913243563825</v>
      </c>
      <c r="CW55" s="187">
        <f t="shared" si="179"/>
        <v>124.21259143711428</v>
      </c>
      <c r="CX55" s="187">
        <f t="shared" si="179"/>
        <v>62.2869122827656</v>
      </c>
      <c r="CY55" s="187">
        <f t="shared" si="179"/>
        <v>1.6548540315852733E-11</v>
      </c>
      <c r="CZ55" s="187">
        <f t="shared" si="179"/>
        <v>1.6548540315852733E-11</v>
      </c>
      <c r="DA55" s="187">
        <f t="shared" si="179"/>
        <v>1.6548540315852733E-11</v>
      </c>
      <c r="DB55" s="188">
        <f>DA55</f>
        <v>1.6548540315852733E-11</v>
      </c>
      <c r="DC55" s="187">
        <f aca="true" t="shared" si="180" ref="DC55:DN55">DB55+DC50-DC53+DC51</f>
        <v>1.6548540315852733E-11</v>
      </c>
      <c r="DD55" s="187">
        <f t="shared" si="180"/>
        <v>1.6548540315852733E-11</v>
      </c>
      <c r="DE55" s="187">
        <f t="shared" si="180"/>
        <v>1.6548540315852733E-11</v>
      </c>
      <c r="DF55" s="187">
        <f t="shared" si="180"/>
        <v>1.6548540315852733E-11</v>
      </c>
      <c r="DG55" s="187">
        <f t="shared" si="180"/>
        <v>1.6548540315852733E-11</v>
      </c>
      <c r="DH55" s="187">
        <f t="shared" si="180"/>
        <v>1.6548540315852733E-11</v>
      </c>
      <c r="DI55" s="187">
        <f t="shared" si="180"/>
        <v>1.6548540315852733E-11</v>
      </c>
      <c r="DJ55" s="187">
        <f t="shared" si="180"/>
        <v>1.6548540315852733E-11</v>
      </c>
      <c r="DK55" s="187">
        <f t="shared" si="180"/>
        <v>1.6548540315852733E-11</v>
      </c>
      <c r="DL55" s="187">
        <f t="shared" si="180"/>
        <v>1.6548540315852733E-11</v>
      </c>
      <c r="DM55" s="187">
        <f t="shared" si="180"/>
        <v>1.6548540315852733E-11</v>
      </c>
      <c r="DN55" s="187">
        <f t="shared" si="180"/>
        <v>1.6548540315852733E-11</v>
      </c>
      <c r="DO55" s="188">
        <f>DN55</f>
        <v>1.6548540315852733E-11</v>
      </c>
    </row>
    <row r="56" spans="1:119" ht="12.75">
      <c r="A56" s="173" t="s">
        <v>70</v>
      </c>
      <c r="B56" s="285">
        <f>B41</f>
        <v>72</v>
      </c>
      <c r="CP56" s="176"/>
      <c r="DB56" s="173"/>
      <c r="DO56" s="173"/>
    </row>
    <row r="57" spans="1:119" ht="12.75">
      <c r="A57" s="286" t="s">
        <v>214</v>
      </c>
      <c r="B57" s="287">
        <f>$S$55*$B48/12/((1-(1+$B48/12)^-$B56))</f>
        <v>62.65025260439852</v>
      </c>
      <c r="DB57" s="173"/>
      <c r="DO57" s="173"/>
    </row>
    <row r="59" ht="12.75">
      <c r="A59" s="194">
        <f>B52-B51-B54</f>
        <v>0</v>
      </c>
    </row>
    <row r="60" ht="12.75">
      <c r="A60" s="194">
        <f>B50+B51-B53-B55</f>
        <v>-6.323830348264892E-13</v>
      </c>
    </row>
  </sheetData>
  <sheetProtection/>
  <mergeCells count="36">
    <mergeCell ref="C33:O33"/>
    <mergeCell ref="P33:AB33"/>
    <mergeCell ref="C48:O48"/>
    <mergeCell ref="P48:AB48"/>
    <mergeCell ref="AC48:AO48"/>
    <mergeCell ref="AP48:BB48"/>
    <mergeCell ref="BC48:BO48"/>
    <mergeCell ref="BP48:CB48"/>
    <mergeCell ref="CC18:CO18"/>
    <mergeCell ref="CP18:DB18"/>
    <mergeCell ref="DC18:DO18"/>
    <mergeCell ref="CP48:DB48"/>
    <mergeCell ref="DC48:DO48"/>
    <mergeCell ref="CC33:CO33"/>
    <mergeCell ref="CP33:DB33"/>
    <mergeCell ref="DC33:DO33"/>
    <mergeCell ref="CC48:CO48"/>
    <mergeCell ref="AC33:AO33"/>
    <mergeCell ref="AP33:BB33"/>
    <mergeCell ref="BC33:BO33"/>
    <mergeCell ref="BP33:CB33"/>
    <mergeCell ref="C18:O18"/>
    <mergeCell ref="P18:AB18"/>
    <mergeCell ref="AC18:AO18"/>
    <mergeCell ref="AP18:BB18"/>
    <mergeCell ref="BC18:BO18"/>
    <mergeCell ref="BP18:CB18"/>
    <mergeCell ref="DC5:DO5"/>
    <mergeCell ref="CP5:DB5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55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41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38" sqref="C38"/>
    </sheetView>
  </sheetViews>
  <sheetFormatPr defaultColWidth="8.875" defaultRowHeight="12.75" outlineLevelRow="1" outlineLevelCol="1"/>
  <cols>
    <col min="1" max="1" width="36.875" style="77" customWidth="1"/>
    <col min="2" max="2" width="8.625" style="77" customWidth="1"/>
    <col min="3" max="3" width="9.00390625" style="77" customWidth="1"/>
    <col min="4" max="4" width="9.625" style="77" customWidth="1"/>
    <col min="5" max="5" width="7.625" style="77" customWidth="1" outlineLevel="1"/>
    <col min="6" max="6" width="6.25390625" style="77" customWidth="1" outlineLevel="1"/>
    <col min="7" max="7" width="4.25390625" style="77" customWidth="1" outlineLevel="1"/>
    <col min="8" max="8" width="5.125" style="77" customWidth="1" outlineLevel="1"/>
    <col min="9" max="9" width="5.625" style="77" customWidth="1" outlineLevel="1"/>
    <col min="10" max="10" width="5.125" style="77" customWidth="1" outlineLevel="1"/>
    <col min="11" max="11" width="5.75390625" style="77" customWidth="1" outlineLevel="1"/>
    <col min="12" max="15" width="6.625" style="77" customWidth="1" outlineLevel="1"/>
    <col min="16" max="16" width="7.125" style="77" customWidth="1" outlineLevel="1"/>
    <col min="17" max="17" width="10.125" style="77" customWidth="1"/>
    <col min="18" max="18" width="5.625" style="77" hidden="1" customWidth="1" outlineLevel="1"/>
    <col min="19" max="19" width="6.25390625" style="77" hidden="1" customWidth="1" outlineLevel="1"/>
    <col min="20" max="20" width="5.875" style="77" hidden="1" customWidth="1" outlineLevel="1"/>
    <col min="21" max="21" width="5.75390625" style="77" hidden="1" customWidth="1" outlineLevel="1"/>
    <col min="22" max="22" width="5.875" style="77" hidden="1" customWidth="1" outlineLevel="1"/>
    <col min="23" max="23" width="6.375" style="77" hidden="1" customWidth="1" outlineLevel="1"/>
    <col min="24" max="24" width="6.75390625" style="77" hidden="1" customWidth="1" outlineLevel="1"/>
    <col min="25" max="26" width="5.125" style="77" hidden="1" customWidth="1" outlineLevel="1"/>
    <col min="27" max="27" width="6.00390625" style="77" hidden="1" customWidth="1" outlineLevel="1"/>
    <col min="28" max="28" width="6.625" style="77" hidden="1" customWidth="1" outlineLevel="1"/>
    <col min="29" max="29" width="7.125" style="77" hidden="1" customWidth="1" outlineLevel="1"/>
    <col min="30" max="30" width="10.125" style="77" hidden="1" customWidth="1" outlineLevel="1"/>
    <col min="31" max="31" width="13.00390625" style="77" customWidth="1" collapsed="1"/>
    <col min="32" max="32" width="16.00390625" style="77" customWidth="1"/>
    <col min="33" max="33" width="12.875" style="77" bestFit="1" customWidth="1"/>
    <col min="34" max="16384" width="8.875" style="77" customWidth="1"/>
  </cols>
  <sheetData>
    <row r="1" ht="12.75">
      <c r="A1" s="61" t="s">
        <v>208</v>
      </c>
    </row>
    <row r="2" spans="2:32" ht="12.75">
      <c r="B2" s="169"/>
      <c r="Q2" s="145" t="str">
        <f>Исх!$C$11</f>
        <v>тыс.тг.</v>
      </c>
      <c r="AD2" s="145" t="s">
        <v>51</v>
      </c>
      <c r="AE2" s="195"/>
      <c r="AF2" s="167"/>
    </row>
    <row r="3" spans="1:32" ht="17.25" customHeight="1">
      <c r="A3" s="354" t="s">
        <v>169</v>
      </c>
      <c r="B3" s="355" t="s">
        <v>145</v>
      </c>
      <c r="C3" s="355" t="s">
        <v>146</v>
      </c>
      <c r="D3" s="356" t="s">
        <v>144</v>
      </c>
      <c r="E3" s="351">
        <v>2013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3"/>
      <c r="Q3" s="90" t="s">
        <v>0</v>
      </c>
      <c r="R3" s="351">
        <v>2014</v>
      </c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3"/>
      <c r="AD3" s="90" t="s">
        <v>0</v>
      </c>
      <c r="AE3" s="195"/>
      <c r="AF3" s="196"/>
    </row>
    <row r="4" spans="1:30" ht="12.75">
      <c r="A4" s="354"/>
      <c r="B4" s="355"/>
      <c r="C4" s="355"/>
      <c r="D4" s="356"/>
      <c r="E4" s="197">
        <v>1</v>
      </c>
      <c r="F4" s="197">
        <v>2</v>
      </c>
      <c r="G4" s="197">
        <v>3</v>
      </c>
      <c r="H4" s="197">
        <v>4</v>
      </c>
      <c r="I4" s="197">
        <v>5</v>
      </c>
      <c r="J4" s="197">
        <v>6</v>
      </c>
      <c r="K4" s="197">
        <v>7</v>
      </c>
      <c r="L4" s="197">
        <v>8</v>
      </c>
      <c r="M4" s="197">
        <v>9</v>
      </c>
      <c r="N4" s="197">
        <v>10</v>
      </c>
      <c r="O4" s="197">
        <v>11</v>
      </c>
      <c r="P4" s="197">
        <v>12</v>
      </c>
      <c r="Q4" s="92">
        <v>2013</v>
      </c>
      <c r="R4" s="197">
        <v>1</v>
      </c>
      <c r="S4" s="197">
        <v>2</v>
      </c>
      <c r="T4" s="197">
        <v>3</v>
      </c>
      <c r="U4" s="197">
        <v>4</v>
      </c>
      <c r="V4" s="197">
        <v>5</v>
      </c>
      <c r="W4" s="197">
        <v>6</v>
      </c>
      <c r="X4" s="197">
        <v>7</v>
      </c>
      <c r="Y4" s="197">
        <v>8</v>
      </c>
      <c r="Z4" s="197">
        <v>9</v>
      </c>
      <c r="AA4" s="197">
        <v>10</v>
      </c>
      <c r="AB4" s="197">
        <v>11</v>
      </c>
      <c r="AC4" s="197">
        <v>12</v>
      </c>
      <c r="AD4" s="92">
        <v>2014</v>
      </c>
    </row>
    <row r="5" spans="1:32" s="61" customFormat="1" ht="12.75">
      <c r="A5" s="198" t="s">
        <v>168</v>
      </c>
      <c r="B5" s="199"/>
      <c r="C5" s="199"/>
      <c r="D5" s="142">
        <f aca="true" t="shared" si="0" ref="D5:AD5">SUM(D6:D7)</f>
        <v>4500</v>
      </c>
      <c r="E5" s="142">
        <f t="shared" si="0"/>
        <v>0</v>
      </c>
      <c r="F5" s="142">
        <f t="shared" si="0"/>
        <v>0</v>
      </c>
      <c r="G5" s="142">
        <f t="shared" si="0"/>
        <v>0</v>
      </c>
      <c r="H5" s="142">
        <f t="shared" si="0"/>
        <v>0</v>
      </c>
      <c r="I5" s="142">
        <f t="shared" si="0"/>
        <v>0</v>
      </c>
      <c r="J5" s="142">
        <f t="shared" si="0"/>
        <v>0</v>
      </c>
      <c r="K5" s="142">
        <f t="shared" si="0"/>
        <v>0</v>
      </c>
      <c r="L5" s="142">
        <f t="shared" si="0"/>
        <v>1500</v>
      </c>
      <c r="M5" s="142">
        <f t="shared" si="0"/>
        <v>1500</v>
      </c>
      <c r="N5" s="142">
        <f t="shared" si="0"/>
        <v>1500</v>
      </c>
      <c r="O5" s="142">
        <f t="shared" si="0"/>
        <v>0</v>
      </c>
      <c r="P5" s="142">
        <f t="shared" si="0"/>
        <v>0</v>
      </c>
      <c r="Q5" s="142">
        <f t="shared" si="0"/>
        <v>4500</v>
      </c>
      <c r="R5" s="142">
        <f t="shared" si="0"/>
        <v>0</v>
      </c>
      <c r="S5" s="142">
        <f t="shared" si="0"/>
        <v>0</v>
      </c>
      <c r="T5" s="142">
        <f t="shared" si="0"/>
        <v>0</v>
      </c>
      <c r="U5" s="142">
        <f t="shared" si="0"/>
        <v>0</v>
      </c>
      <c r="V5" s="142">
        <f t="shared" si="0"/>
        <v>0</v>
      </c>
      <c r="W5" s="142">
        <f t="shared" si="0"/>
        <v>0</v>
      </c>
      <c r="X5" s="142">
        <f t="shared" si="0"/>
        <v>0</v>
      </c>
      <c r="Y5" s="142">
        <f t="shared" si="0"/>
        <v>0</v>
      </c>
      <c r="Z5" s="142">
        <f t="shared" si="0"/>
        <v>0</v>
      </c>
      <c r="AA5" s="142">
        <f t="shared" si="0"/>
        <v>0</v>
      </c>
      <c r="AB5" s="142">
        <f t="shared" si="0"/>
        <v>0</v>
      </c>
      <c r="AC5" s="142">
        <f t="shared" si="0"/>
        <v>0</v>
      </c>
      <c r="AD5" s="142">
        <f t="shared" si="0"/>
        <v>0</v>
      </c>
      <c r="AF5" s="77"/>
    </row>
    <row r="6" spans="1:30" ht="12.75" outlineLevel="1">
      <c r="A6" s="200" t="s">
        <v>229</v>
      </c>
      <c r="B6" s="236">
        <f>300</f>
        <v>300</v>
      </c>
      <c r="C6" s="236">
        <v>15</v>
      </c>
      <c r="D6" s="149">
        <f>B6*C6</f>
        <v>4500</v>
      </c>
      <c r="E6" s="144"/>
      <c r="F6" s="149"/>
      <c r="G6" s="149"/>
      <c r="H6" s="149"/>
      <c r="I6" s="149"/>
      <c r="J6" s="149"/>
      <c r="K6" s="149"/>
      <c r="L6" s="149">
        <f>$D6/3</f>
        <v>1500</v>
      </c>
      <c r="M6" s="149">
        <f>$D6/3</f>
        <v>1500</v>
      </c>
      <c r="N6" s="149">
        <f>$D6/3</f>
        <v>1500</v>
      </c>
      <c r="O6" s="149"/>
      <c r="P6" s="149"/>
      <c r="Q6" s="150">
        <f>SUM(E6:P6)</f>
        <v>4500</v>
      </c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50">
        <f>SUM(R6:AC6)</f>
        <v>0</v>
      </c>
    </row>
    <row r="7" spans="1:30" ht="12.75" hidden="1" outlineLevel="1">
      <c r="A7" s="200"/>
      <c r="B7" s="236"/>
      <c r="C7" s="236"/>
      <c r="D7" s="149">
        <f>B7*C7</f>
        <v>0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>
        <f>SUM(E7:P7)</f>
        <v>0</v>
      </c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50">
        <f>SUM(R7:AC7)</f>
        <v>0</v>
      </c>
    </row>
    <row r="8" spans="1:30" ht="12.75" collapsed="1">
      <c r="A8" s="198" t="s">
        <v>97</v>
      </c>
      <c r="B8" s="199"/>
      <c r="C8" s="199"/>
      <c r="D8" s="142">
        <f aca="true" t="shared" si="1" ref="D8:AD8">SUM(D9:D25)</f>
        <v>3817</v>
      </c>
      <c r="E8" s="142">
        <f t="shared" si="1"/>
        <v>0</v>
      </c>
      <c r="F8" s="142">
        <f t="shared" si="1"/>
        <v>0</v>
      </c>
      <c r="G8" s="142">
        <f t="shared" si="1"/>
        <v>0</v>
      </c>
      <c r="H8" s="142">
        <f t="shared" si="1"/>
        <v>0</v>
      </c>
      <c r="I8" s="142">
        <f t="shared" si="1"/>
        <v>0</v>
      </c>
      <c r="J8" s="142">
        <f t="shared" si="1"/>
        <v>0</v>
      </c>
      <c r="K8" s="142">
        <f t="shared" si="1"/>
        <v>0</v>
      </c>
      <c r="L8" s="142">
        <f t="shared" si="1"/>
        <v>0</v>
      </c>
      <c r="M8" s="142">
        <f t="shared" si="1"/>
        <v>1290</v>
      </c>
      <c r="N8" s="142">
        <f t="shared" si="1"/>
        <v>2527</v>
      </c>
      <c r="O8" s="142">
        <f t="shared" si="1"/>
        <v>0</v>
      </c>
      <c r="P8" s="142">
        <f t="shared" si="1"/>
        <v>0</v>
      </c>
      <c r="Q8" s="142">
        <f t="shared" si="1"/>
        <v>3817</v>
      </c>
      <c r="R8" s="142">
        <f t="shared" si="1"/>
        <v>0</v>
      </c>
      <c r="S8" s="142">
        <f t="shared" si="1"/>
        <v>0</v>
      </c>
      <c r="T8" s="142">
        <f t="shared" si="1"/>
        <v>0</v>
      </c>
      <c r="U8" s="142">
        <f t="shared" si="1"/>
        <v>0</v>
      </c>
      <c r="V8" s="142">
        <f t="shared" si="1"/>
        <v>0</v>
      </c>
      <c r="W8" s="142">
        <f t="shared" si="1"/>
        <v>0</v>
      </c>
      <c r="X8" s="142">
        <f t="shared" si="1"/>
        <v>0</v>
      </c>
      <c r="Y8" s="142">
        <f t="shared" si="1"/>
        <v>0</v>
      </c>
      <c r="Z8" s="142">
        <f t="shared" si="1"/>
        <v>0</v>
      </c>
      <c r="AA8" s="142">
        <f t="shared" si="1"/>
        <v>0</v>
      </c>
      <c r="AB8" s="142">
        <f t="shared" si="1"/>
        <v>0</v>
      </c>
      <c r="AC8" s="142">
        <f t="shared" si="1"/>
        <v>0</v>
      </c>
      <c r="AD8" s="142">
        <f t="shared" si="1"/>
        <v>0</v>
      </c>
    </row>
    <row r="9" spans="1:30" ht="12.75" outlineLevel="1">
      <c r="A9" s="278" t="s">
        <v>270</v>
      </c>
      <c r="B9" s="144"/>
      <c r="C9" s="144"/>
      <c r="D9" s="149">
        <f>B9*C9</f>
        <v>0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50"/>
    </row>
    <row r="10" spans="1:31" ht="12.75" outlineLevel="1">
      <c r="A10" s="201" t="s">
        <v>310</v>
      </c>
      <c r="B10" s="144">
        <f>B6</f>
        <v>300</v>
      </c>
      <c r="C10" s="228">
        <v>8.6</v>
      </c>
      <c r="D10" s="149">
        <f>B10*C10</f>
        <v>2580</v>
      </c>
      <c r="E10" s="149"/>
      <c r="F10" s="149"/>
      <c r="G10" s="149"/>
      <c r="H10" s="149"/>
      <c r="I10" s="149"/>
      <c r="J10" s="149"/>
      <c r="K10" s="149"/>
      <c r="L10" s="149"/>
      <c r="M10" s="149">
        <f>$D10/2</f>
        <v>1290</v>
      </c>
      <c r="N10" s="149">
        <f>$D10/2</f>
        <v>1290</v>
      </c>
      <c r="O10" s="149"/>
      <c r="P10" s="149"/>
      <c r="Q10" s="150">
        <f>SUM(E10:P10)</f>
        <v>2580</v>
      </c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50">
        <f>SUM(R10:AC10)</f>
        <v>0</v>
      </c>
      <c r="AE10" s="313" t="s">
        <v>321</v>
      </c>
    </row>
    <row r="11" spans="1:31" ht="12.75" outlineLevel="1">
      <c r="A11" s="257" t="s">
        <v>311</v>
      </c>
      <c r="B11" s="143">
        <v>70</v>
      </c>
      <c r="C11" s="228">
        <v>2.5</v>
      </c>
      <c r="D11" s="149">
        <f>B11*C11</f>
        <v>175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>
        <f>D11</f>
        <v>175</v>
      </c>
      <c r="O11" s="149"/>
      <c r="P11" s="149"/>
      <c r="Q11" s="150">
        <f>SUM(E11:P11)</f>
        <v>175</v>
      </c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50">
        <f>SUM(R11:AC11)</f>
        <v>0</v>
      </c>
      <c r="AE11" s="313" t="s">
        <v>322</v>
      </c>
    </row>
    <row r="12" spans="1:30" ht="12.75" outlineLevel="1">
      <c r="A12" s="257" t="s">
        <v>312</v>
      </c>
      <c r="B12" s="143">
        <v>10</v>
      </c>
      <c r="C12" s="143">
        <v>5</v>
      </c>
      <c r="D12" s="149">
        <f>B12*C12</f>
        <v>50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>
        <f>D12</f>
        <v>50</v>
      </c>
      <c r="O12" s="149"/>
      <c r="P12" s="149"/>
      <c r="Q12" s="150">
        <f>SUM(E12:P12)</f>
        <v>50</v>
      </c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50">
        <f>SUM(R12:AC12)</f>
        <v>0</v>
      </c>
    </row>
    <row r="13" spans="1:33" ht="12.75" outlineLevel="1">
      <c r="A13" s="201" t="s">
        <v>313</v>
      </c>
      <c r="B13" s="143">
        <v>5</v>
      </c>
      <c r="C13" s="143">
        <v>10</v>
      </c>
      <c r="D13" s="149">
        <f>B13*C13</f>
        <v>50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>
        <f>D13</f>
        <v>50</v>
      </c>
      <c r="O13" s="149"/>
      <c r="P13" s="149"/>
      <c r="Q13" s="150">
        <f>SUM(E13:P13)</f>
        <v>50</v>
      </c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50">
        <f>SUM(R13:AC13)</f>
        <v>0</v>
      </c>
      <c r="AG13" s="77" t="s">
        <v>320</v>
      </c>
    </row>
    <row r="14" spans="1:30" s="61" customFormat="1" ht="12.75" outlineLevel="1">
      <c r="A14" s="278" t="s">
        <v>269</v>
      </c>
      <c r="B14" s="312"/>
      <c r="C14" s="312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49"/>
      <c r="X14" s="150"/>
      <c r="Y14" s="150"/>
      <c r="Z14" s="150"/>
      <c r="AA14" s="150"/>
      <c r="AB14" s="150"/>
      <c r="AC14" s="150"/>
      <c r="AD14" s="150"/>
    </row>
    <row r="15" spans="1:30" ht="12.75" outlineLevel="1">
      <c r="A15" s="201" t="s">
        <v>305</v>
      </c>
      <c r="B15" s="143">
        <v>1</v>
      </c>
      <c r="C15" s="143">
        <v>350</v>
      </c>
      <c r="D15" s="149">
        <f aca="true" t="shared" si="2" ref="D15:D25">B15*C15</f>
        <v>350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>
        <f>D15</f>
        <v>350</v>
      </c>
      <c r="O15" s="149"/>
      <c r="P15" s="149"/>
      <c r="Q15" s="150">
        <f aca="true" t="shared" si="3" ref="Q15:Q25">SUM(E15:P15)</f>
        <v>350</v>
      </c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50">
        <f aca="true" t="shared" si="4" ref="AD15:AD25">SUM(R15:AC15)</f>
        <v>0</v>
      </c>
    </row>
    <row r="16" spans="1:30" ht="12.75" outlineLevel="1">
      <c r="A16" s="257" t="s">
        <v>306</v>
      </c>
      <c r="B16" s="143">
        <v>1</v>
      </c>
      <c r="C16" s="143">
        <v>60</v>
      </c>
      <c r="D16" s="149">
        <f t="shared" si="2"/>
        <v>60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>
        <f aca="true" t="shared" si="5" ref="N16:N25">D16</f>
        <v>60</v>
      </c>
      <c r="O16" s="149"/>
      <c r="P16" s="149"/>
      <c r="Q16" s="150">
        <f t="shared" si="3"/>
        <v>60</v>
      </c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50">
        <f t="shared" si="4"/>
        <v>0</v>
      </c>
    </row>
    <row r="17" spans="1:30" ht="12.75" outlineLevel="1">
      <c r="A17" s="257" t="s">
        <v>307</v>
      </c>
      <c r="B17" s="143">
        <v>1</v>
      </c>
      <c r="C17" s="143">
        <v>25</v>
      </c>
      <c r="D17" s="149">
        <f t="shared" si="2"/>
        <v>25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>
        <f t="shared" si="5"/>
        <v>25</v>
      </c>
      <c r="O17" s="149"/>
      <c r="P17" s="149"/>
      <c r="Q17" s="150">
        <f t="shared" si="3"/>
        <v>25</v>
      </c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50">
        <f t="shared" si="4"/>
        <v>0</v>
      </c>
    </row>
    <row r="18" spans="1:30" ht="12.75" outlineLevel="1">
      <c r="A18" s="257" t="s">
        <v>314</v>
      </c>
      <c r="B18" s="143">
        <v>1</v>
      </c>
      <c r="C18" s="143">
        <v>7</v>
      </c>
      <c r="D18" s="149">
        <f t="shared" si="2"/>
        <v>7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>
        <f t="shared" si="5"/>
        <v>7</v>
      </c>
      <c r="O18" s="149"/>
      <c r="P18" s="149"/>
      <c r="Q18" s="150">
        <f t="shared" si="3"/>
        <v>7</v>
      </c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50">
        <f t="shared" si="4"/>
        <v>0</v>
      </c>
    </row>
    <row r="19" spans="1:30" ht="12.75" outlineLevel="1">
      <c r="A19" s="257" t="s">
        <v>315</v>
      </c>
      <c r="B19" s="143">
        <v>1</v>
      </c>
      <c r="C19" s="143">
        <v>20</v>
      </c>
      <c r="D19" s="149">
        <f>B19*C19</f>
        <v>20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>
        <f t="shared" si="5"/>
        <v>20</v>
      </c>
      <c r="O19" s="149"/>
      <c r="P19" s="149"/>
      <c r="Q19" s="150">
        <f>SUM(E19:P19)</f>
        <v>20</v>
      </c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50">
        <f>SUM(R19:AC19)</f>
        <v>0</v>
      </c>
    </row>
    <row r="20" spans="1:30" s="61" customFormat="1" ht="12.75" outlineLevel="1">
      <c r="A20" s="278" t="s">
        <v>271</v>
      </c>
      <c r="B20" s="312"/>
      <c r="C20" s="312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49"/>
      <c r="X20" s="150"/>
      <c r="Y20" s="150"/>
      <c r="Z20" s="150"/>
      <c r="AA20" s="150"/>
      <c r="AB20" s="150"/>
      <c r="AC20" s="150"/>
      <c r="AD20" s="150"/>
    </row>
    <row r="21" spans="1:30" ht="12.75" outlineLevel="1">
      <c r="A21" s="201" t="s">
        <v>308</v>
      </c>
      <c r="B21" s="143">
        <v>2</v>
      </c>
      <c r="C21" s="143">
        <v>115</v>
      </c>
      <c r="D21" s="149">
        <f t="shared" si="2"/>
        <v>230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>
        <f t="shared" si="5"/>
        <v>230</v>
      </c>
      <c r="O21" s="149"/>
      <c r="P21" s="149"/>
      <c r="Q21" s="150">
        <f t="shared" si="3"/>
        <v>230</v>
      </c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50">
        <f t="shared" si="4"/>
        <v>0</v>
      </c>
    </row>
    <row r="22" spans="1:30" ht="12.75" outlineLevel="1">
      <c r="A22" s="257" t="s">
        <v>309</v>
      </c>
      <c r="B22" s="143">
        <v>1</v>
      </c>
      <c r="C22" s="143">
        <v>70</v>
      </c>
      <c r="D22" s="149">
        <f t="shared" si="2"/>
        <v>70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>
        <f t="shared" si="5"/>
        <v>70</v>
      </c>
      <c r="O22" s="149"/>
      <c r="P22" s="149"/>
      <c r="Q22" s="150">
        <f t="shared" si="3"/>
        <v>70</v>
      </c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50">
        <f t="shared" si="4"/>
        <v>0</v>
      </c>
    </row>
    <row r="23" spans="1:30" ht="12.75" outlineLevel="1">
      <c r="A23" s="257" t="s">
        <v>316</v>
      </c>
      <c r="B23" s="143">
        <v>2</v>
      </c>
      <c r="C23" s="228">
        <v>30</v>
      </c>
      <c r="D23" s="149">
        <f t="shared" si="2"/>
        <v>60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>
        <f t="shared" si="5"/>
        <v>60</v>
      </c>
      <c r="O23" s="149"/>
      <c r="P23" s="149"/>
      <c r="Q23" s="150">
        <f t="shared" si="3"/>
        <v>60</v>
      </c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>
        <f t="shared" si="4"/>
        <v>0</v>
      </c>
    </row>
    <row r="24" spans="1:30" ht="12.75" outlineLevel="1">
      <c r="A24" s="201" t="s">
        <v>317</v>
      </c>
      <c r="B24" s="143">
        <v>2</v>
      </c>
      <c r="C24" s="143">
        <v>25</v>
      </c>
      <c r="D24" s="149">
        <f t="shared" si="2"/>
        <v>50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>
        <f t="shared" si="5"/>
        <v>50</v>
      </c>
      <c r="O24" s="149"/>
      <c r="P24" s="149"/>
      <c r="Q24" s="150">
        <f t="shared" si="3"/>
        <v>50</v>
      </c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50">
        <f t="shared" si="4"/>
        <v>0</v>
      </c>
    </row>
    <row r="25" spans="1:30" ht="12.75" outlineLevel="1">
      <c r="A25" s="257" t="s">
        <v>318</v>
      </c>
      <c r="B25" s="143">
        <v>6</v>
      </c>
      <c r="C25" s="143">
        <v>15</v>
      </c>
      <c r="D25" s="149">
        <f t="shared" si="2"/>
        <v>90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>
        <f t="shared" si="5"/>
        <v>90</v>
      </c>
      <c r="O25" s="149"/>
      <c r="P25" s="149"/>
      <c r="Q25" s="150">
        <f t="shared" si="3"/>
        <v>90</v>
      </c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50">
        <f t="shared" si="4"/>
        <v>0</v>
      </c>
    </row>
    <row r="26" spans="1:30" ht="12.75">
      <c r="A26" s="198" t="s">
        <v>192</v>
      </c>
      <c r="B26" s="199"/>
      <c r="C26" s="199"/>
      <c r="D26" s="142">
        <f aca="true" t="shared" si="6" ref="D26:AD26">SUM(D27:D30)</f>
        <v>324</v>
      </c>
      <c r="E26" s="142">
        <f t="shared" si="6"/>
        <v>0</v>
      </c>
      <c r="F26" s="142">
        <f t="shared" si="6"/>
        <v>0</v>
      </c>
      <c r="G26" s="142">
        <f t="shared" si="6"/>
        <v>0</v>
      </c>
      <c r="H26" s="142">
        <f t="shared" si="6"/>
        <v>0</v>
      </c>
      <c r="I26" s="142">
        <f t="shared" si="6"/>
        <v>0</v>
      </c>
      <c r="J26" s="142">
        <f t="shared" si="6"/>
        <v>0</v>
      </c>
      <c r="K26" s="142">
        <f t="shared" si="6"/>
        <v>0</v>
      </c>
      <c r="L26" s="142">
        <f t="shared" si="6"/>
        <v>75</v>
      </c>
      <c r="M26" s="142">
        <f t="shared" si="6"/>
        <v>112.5</v>
      </c>
      <c r="N26" s="142">
        <f t="shared" si="6"/>
        <v>136.5</v>
      </c>
      <c r="O26" s="142">
        <f t="shared" si="6"/>
        <v>0</v>
      </c>
      <c r="P26" s="142">
        <f t="shared" si="6"/>
        <v>0</v>
      </c>
      <c r="Q26" s="142">
        <f t="shared" si="6"/>
        <v>324</v>
      </c>
      <c r="R26" s="142">
        <f t="shared" si="6"/>
        <v>0</v>
      </c>
      <c r="S26" s="142">
        <f t="shared" si="6"/>
        <v>0</v>
      </c>
      <c r="T26" s="142">
        <f t="shared" si="6"/>
        <v>0</v>
      </c>
      <c r="U26" s="142">
        <f t="shared" si="6"/>
        <v>0</v>
      </c>
      <c r="V26" s="142">
        <f t="shared" si="6"/>
        <v>0</v>
      </c>
      <c r="W26" s="142">
        <f t="shared" si="6"/>
        <v>0</v>
      </c>
      <c r="X26" s="142">
        <f t="shared" si="6"/>
        <v>0</v>
      </c>
      <c r="Y26" s="142">
        <f t="shared" si="6"/>
        <v>0</v>
      </c>
      <c r="Z26" s="142">
        <f t="shared" si="6"/>
        <v>0</v>
      </c>
      <c r="AA26" s="142">
        <f t="shared" si="6"/>
        <v>0</v>
      </c>
      <c r="AB26" s="142">
        <f t="shared" si="6"/>
        <v>0</v>
      </c>
      <c r="AC26" s="142">
        <f t="shared" si="6"/>
        <v>0</v>
      </c>
      <c r="AD26" s="142">
        <f t="shared" si="6"/>
        <v>0</v>
      </c>
    </row>
    <row r="27" spans="1:30" ht="12.75" outlineLevel="1">
      <c r="A27" s="201" t="s">
        <v>236</v>
      </c>
      <c r="B27" s="143">
        <v>1</v>
      </c>
      <c r="C27" s="143">
        <v>150</v>
      </c>
      <c r="D27" s="149">
        <f>B27*C27</f>
        <v>150</v>
      </c>
      <c r="E27" s="149"/>
      <c r="F27" s="149"/>
      <c r="G27" s="149"/>
      <c r="H27" s="149"/>
      <c r="I27" s="149"/>
      <c r="J27" s="149"/>
      <c r="K27" s="149"/>
      <c r="L27" s="149">
        <f>$D27/2</f>
        <v>75</v>
      </c>
      <c r="M27" s="149">
        <f>$D27/4</f>
        <v>37.5</v>
      </c>
      <c r="N27" s="149">
        <f>$D27/4</f>
        <v>37.5</v>
      </c>
      <c r="O27" s="149"/>
      <c r="P27" s="149"/>
      <c r="Q27" s="150">
        <f>SUM(E27:P27)</f>
        <v>150</v>
      </c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50">
        <f>SUM(R27:AC27)</f>
        <v>0</v>
      </c>
    </row>
    <row r="28" spans="1:30" ht="12.75" outlineLevel="1">
      <c r="A28" s="201" t="s">
        <v>237</v>
      </c>
      <c r="B28" s="143">
        <v>1</v>
      </c>
      <c r="C28" s="143">
        <v>150</v>
      </c>
      <c r="D28" s="149">
        <f>B28*C28</f>
        <v>150</v>
      </c>
      <c r="E28" s="149"/>
      <c r="F28" s="149"/>
      <c r="G28" s="149"/>
      <c r="H28" s="149"/>
      <c r="I28" s="149"/>
      <c r="J28" s="149"/>
      <c r="K28" s="149"/>
      <c r="L28" s="149"/>
      <c r="M28" s="149">
        <f>$D28/2</f>
        <v>75</v>
      </c>
      <c r="N28" s="149">
        <f>$D28/2</f>
        <v>75</v>
      </c>
      <c r="O28" s="149"/>
      <c r="P28" s="149"/>
      <c r="Q28" s="150">
        <f>SUM(E28:P28)</f>
        <v>150</v>
      </c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50">
        <f>SUM(R28:AC28)</f>
        <v>0</v>
      </c>
    </row>
    <row r="29" spans="1:30" ht="12.75" outlineLevel="1">
      <c r="A29" s="201" t="s">
        <v>319</v>
      </c>
      <c r="B29" s="143">
        <v>1</v>
      </c>
      <c r="C29" s="143">
        <v>24</v>
      </c>
      <c r="D29" s="149">
        <f>B29*C29</f>
        <v>24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>
        <f>D29</f>
        <v>24</v>
      </c>
      <c r="O29" s="149"/>
      <c r="P29" s="149"/>
      <c r="Q29" s="150">
        <f>SUM(E29:P29)</f>
        <v>24</v>
      </c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50">
        <f>SUM(R29:AC29)</f>
        <v>0</v>
      </c>
    </row>
    <row r="30" spans="1:30" ht="12.75" hidden="1" outlineLevel="1">
      <c r="A30" s="201"/>
      <c r="B30" s="143"/>
      <c r="C30" s="143"/>
      <c r="D30" s="149">
        <f>B30*C30</f>
        <v>0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50">
        <f>SUM(E30:P30)</f>
        <v>0</v>
      </c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50">
        <f>SUM(R30:AC30)</f>
        <v>0</v>
      </c>
    </row>
    <row r="31" spans="1:30" ht="12.75" collapsed="1">
      <c r="A31" s="139" t="s">
        <v>0</v>
      </c>
      <c r="B31" s="163"/>
      <c r="C31" s="163"/>
      <c r="D31" s="163">
        <f aca="true" t="shared" si="7" ref="D31:AD31">D5+D8+D26</f>
        <v>8641</v>
      </c>
      <c r="E31" s="163">
        <f t="shared" si="7"/>
        <v>0</v>
      </c>
      <c r="F31" s="163">
        <f t="shared" si="7"/>
        <v>0</v>
      </c>
      <c r="G31" s="163">
        <f t="shared" si="7"/>
        <v>0</v>
      </c>
      <c r="H31" s="163">
        <f t="shared" si="7"/>
        <v>0</v>
      </c>
      <c r="I31" s="163">
        <f t="shared" si="7"/>
        <v>0</v>
      </c>
      <c r="J31" s="163">
        <f t="shared" si="7"/>
        <v>0</v>
      </c>
      <c r="K31" s="163">
        <f t="shared" si="7"/>
        <v>0</v>
      </c>
      <c r="L31" s="163">
        <f t="shared" si="7"/>
        <v>1575</v>
      </c>
      <c r="M31" s="163">
        <f t="shared" si="7"/>
        <v>2902.5</v>
      </c>
      <c r="N31" s="163">
        <f t="shared" si="7"/>
        <v>4163.5</v>
      </c>
      <c r="O31" s="163">
        <f t="shared" si="7"/>
        <v>0</v>
      </c>
      <c r="P31" s="163">
        <f t="shared" si="7"/>
        <v>0</v>
      </c>
      <c r="Q31" s="163">
        <f t="shared" si="7"/>
        <v>8641</v>
      </c>
      <c r="R31" s="163">
        <f t="shared" si="7"/>
        <v>0</v>
      </c>
      <c r="S31" s="163">
        <f t="shared" si="7"/>
        <v>0</v>
      </c>
      <c r="T31" s="163">
        <f t="shared" si="7"/>
        <v>0</v>
      </c>
      <c r="U31" s="163">
        <f t="shared" si="7"/>
        <v>0</v>
      </c>
      <c r="V31" s="163">
        <f t="shared" si="7"/>
        <v>0</v>
      </c>
      <c r="W31" s="163">
        <f t="shared" si="7"/>
        <v>0</v>
      </c>
      <c r="X31" s="163">
        <f t="shared" si="7"/>
        <v>0</v>
      </c>
      <c r="Y31" s="163">
        <f t="shared" si="7"/>
        <v>0</v>
      </c>
      <c r="Z31" s="163">
        <f t="shared" si="7"/>
        <v>0</v>
      </c>
      <c r="AA31" s="163">
        <f t="shared" si="7"/>
        <v>0</v>
      </c>
      <c r="AB31" s="163">
        <f t="shared" si="7"/>
        <v>0</v>
      </c>
      <c r="AC31" s="163">
        <f t="shared" si="7"/>
        <v>0</v>
      </c>
      <c r="AD31" s="163">
        <f t="shared" si="7"/>
        <v>0</v>
      </c>
    </row>
    <row r="32" ht="12.75">
      <c r="D32" s="195">
        <f>D31-Q31-AD31</f>
        <v>0</v>
      </c>
    </row>
    <row r="33" spans="2:4" ht="12.75">
      <c r="B33" s="145" t="s">
        <v>51</v>
      </c>
      <c r="C33" s="195" t="s">
        <v>38</v>
      </c>
      <c r="D33" s="202" t="s">
        <v>89</v>
      </c>
    </row>
    <row r="34" spans="1:25" ht="12.75">
      <c r="A34" s="77" t="s">
        <v>101</v>
      </c>
      <c r="B34" s="195">
        <f>D5</f>
        <v>4500</v>
      </c>
      <c r="C34" s="195">
        <f>B34/Исх!$C$20</f>
        <v>4500</v>
      </c>
      <c r="D34" s="164">
        <f>B34/Исх!$C$5</f>
        <v>29.615004935834158</v>
      </c>
      <c r="L34" s="169"/>
      <c r="Y34" s="169"/>
    </row>
    <row r="35" spans="1:25" ht="12.75">
      <c r="A35" s="77" t="s">
        <v>97</v>
      </c>
      <c r="B35" s="195">
        <f>D8</f>
        <v>3817</v>
      </c>
      <c r="C35" s="195">
        <f>B35/Исх!$C$20</f>
        <v>3817</v>
      </c>
      <c r="D35" s="164">
        <f>B35/Исх!$C$5</f>
        <v>25.12010529779533</v>
      </c>
      <c r="L35" s="169"/>
      <c r="Y35" s="169"/>
    </row>
    <row r="36" spans="1:25" ht="12.75">
      <c r="A36" s="77" t="s">
        <v>172</v>
      </c>
      <c r="B36" s="195">
        <f>D26</f>
        <v>324</v>
      </c>
      <c r="C36" s="195">
        <f>B36/Исх!$C$20</f>
        <v>324</v>
      </c>
      <c r="D36" s="164">
        <f>B36/Исх!$C$5</f>
        <v>2.1322803553800593</v>
      </c>
      <c r="L36" s="169"/>
      <c r="Y36" s="169"/>
    </row>
    <row r="37" spans="1:4" ht="12.75">
      <c r="A37" s="61" t="s">
        <v>80</v>
      </c>
      <c r="B37" s="203">
        <f>SUM(B34:B36)</f>
        <v>8641</v>
      </c>
      <c r="C37" s="203">
        <f>SUM(C34:C36)</f>
        <v>8641</v>
      </c>
      <c r="D37" s="203">
        <f>SUM(D34:D36)</f>
        <v>56.867390589009545</v>
      </c>
    </row>
    <row r="39" ht="12.75">
      <c r="B39" s="195"/>
    </row>
    <row r="40" ht="12.75">
      <c r="B40" s="195"/>
    </row>
    <row r="41" ht="12.75">
      <c r="B41" s="195"/>
    </row>
  </sheetData>
  <sheetProtection/>
  <mergeCells count="6">
    <mergeCell ref="R3:AC3"/>
    <mergeCell ref="E3:P3"/>
    <mergeCell ref="A3:A4"/>
    <mergeCell ref="B3:B4"/>
    <mergeCell ref="C3:C4"/>
    <mergeCell ref="D3:D4"/>
  </mergeCells>
  <hyperlinks>
    <hyperlink ref="AE10" r:id="rId1" display="http://satu.kz/Parket"/>
    <hyperlink ref="AE11" r:id="rId2" display="http://satu.kz/p1159000-rezka-zerkalo.html"/>
  </hyperlinks>
  <printOptions/>
  <pageMargins left="0.4724409448818898" right="0.2362204724409449" top="0.4330708661417323" bottom="0.2755905511811024" header="0.35433070866141736" footer="0.1968503937007874"/>
  <pageSetup horizontalDpi="600" verticalDpi="600" orientation="landscape" paperSize="9" scale="96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40.875" style="77" customWidth="1"/>
    <col min="2" max="2" width="8.875" style="77" customWidth="1"/>
    <col min="3" max="10" width="7.875" style="77" customWidth="1"/>
    <col min="11" max="16384" width="9.125" style="77" customWidth="1"/>
  </cols>
  <sheetData>
    <row r="1" spans="1:6" ht="12.75">
      <c r="A1" s="61" t="s">
        <v>66</v>
      </c>
      <c r="B1" s="61"/>
      <c r="C1" s="61"/>
      <c r="D1" s="61"/>
      <c r="E1" s="61"/>
      <c r="F1" s="61"/>
    </row>
    <row r="2" spans="1:10" ht="12.75">
      <c r="A2" s="204"/>
      <c r="B2" s="204"/>
      <c r="C2" s="204"/>
      <c r="D2" s="204"/>
      <c r="E2" s="204"/>
      <c r="F2" s="204"/>
      <c r="J2" s="145" t="str">
        <f>Исх!$C$11</f>
        <v>тыс.тг.</v>
      </c>
    </row>
    <row r="3" spans="1:10" ht="12.75">
      <c r="A3" s="212" t="s">
        <v>7</v>
      </c>
      <c r="B3" s="227">
        <v>2013</v>
      </c>
      <c r="C3" s="227">
        <f>B3+1</f>
        <v>2014</v>
      </c>
      <c r="D3" s="227">
        <f aca="true" t="shared" si="0" ref="D3:I3">C3+1</f>
        <v>2015</v>
      </c>
      <c r="E3" s="227">
        <f t="shared" si="0"/>
        <v>2016</v>
      </c>
      <c r="F3" s="227">
        <f t="shared" si="0"/>
        <v>2017</v>
      </c>
      <c r="G3" s="227">
        <f t="shared" si="0"/>
        <v>2018</v>
      </c>
      <c r="H3" s="227">
        <f t="shared" si="0"/>
        <v>2019</v>
      </c>
      <c r="I3" s="227">
        <f t="shared" si="0"/>
        <v>2020</v>
      </c>
      <c r="J3" s="227">
        <f>I3+1</f>
        <v>2021</v>
      </c>
    </row>
    <row r="4" spans="1:10" ht="12.75">
      <c r="A4" s="205" t="s">
        <v>337</v>
      </c>
      <c r="B4" s="206">
        <f>'2-ф2'!P5</f>
        <v>2112</v>
      </c>
      <c r="C4" s="206">
        <f>'2-ф2'!AC5</f>
        <v>17280</v>
      </c>
      <c r="D4" s="206">
        <f>'2-ф2'!AD5</f>
        <v>19584</v>
      </c>
      <c r="E4" s="206">
        <f>'2-ф2'!AE5</f>
        <v>21888</v>
      </c>
      <c r="F4" s="206">
        <f>'2-ф2'!AF5</f>
        <v>23040</v>
      </c>
      <c r="G4" s="206">
        <f>'2-ф2'!AG5</f>
        <v>24192</v>
      </c>
      <c r="H4" s="206">
        <f>'2-ф2'!AH5</f>
        <v>25344</v>
      </c>
      <c r="I4" s="206">
        <f>'2-ф2'!AI5</f>
        <v>26496</v>
      </c>
      <c r="J4" s="206">
        <f>'2-ф2'!AJ5</f>
        <v>27648</v>
      </c>
    </row>
    <row r="5" spans="1:10" ht="12.75">
      <c r="A5" s="205" t="s">
        <v>81</v>
      </c>
      <c r="B5" s="207">
        <f aca="true" t="shared" si="1" ref="B5:H5">B4-B6</f>
        <v>173.24986249999984</v>
      </c>
      <c r="C5" s="207">
        <f t="shared" si="1"/>
        <v>-1965.6295924530423</v>
      </c>
      <c r="D5" s="207">
        <f t="shared" si="1"/>
        <v>1357.8411960356098</v>
      </c>
      <c r="E5" s="207">
        <f t="shared" si="1"/>
        <v>2672.8211005170742</v>
      </c>
      <c r="F5" s="207">
        <f t="shared" si="1"/>
        <v>2981.942214885312</v>
      </c>
      <c r="G5" s="207">
        <f t="shared" si="1"/>
        <v>3297.3068215726744</v>
      </c>
      <c r="H5" s="207">
        <f t="shared" si="1"/>
        <v>3581.561369437175</v>
      </c>
      <c r="I5" s="207">
        <f>I4-I6</f>
        <v>3795.335514358725</v>
      </c>
      <c r="J5" s="207">
        <f>J4-J6</f>
        <v>3938.6016988906667</v>
      </c>
    </row>
    <row r="6" spans="1:10" ht="12.75">
      <c r="A6" s="205" t="s">
        <v>338</v>
      </c>
      <c r="B6" s="208">
        <f aca="true" t="shared" si="2" ref="B6:H6">SUM(B7:B8)</f>
        <v>1938.7501375000002</v>
      </c>
      <c r="C6" s="208">
        <f t="shared" si="2"/>
        <v>19245.629592453042</v>
      </c>
      <c r="D6" s="208">
        <f t="shared" si="2"/>
        <v>18226.15880396439</v>
      </c>
      <c r="E6" s="208">
        <f t="shared" si="2"/>
        <v>19215.178899482926</v>
      </c>
      <c r="F6" s="208">
        <f t="shared" si="2"/>
        <v>20058.057785114688</v>
      </c>
      <c r="G6" s="208">
        <f t="shared" si="2"/>
        <v>20894.693178427326</v>
      </c>
      <c r="H6" s="208">
        <f t="shared" si="2"/>
        <v>21762.438630562825</v>
      </c>
      <c r="I6" s="208">
        <f>SUM(I7:I8)</f>
        <v>22700.664485641275</v>
      </c>
      <c r="J6" s="208">
        <f>SUM(J7:J8)</f>
        <v>23709.398301109333</v>
      </c>
    </row>
    <row r="7" spans="1:10" ht="12.75">
      <c r="A7" s="205" t="s">
        <v>82</v>
      </c>
      <c r="B7" s="206">
        <f>'2-ф2'!P18+'2-ф2'!P17+'2-ф2'!P16</f>
        <v>1294.6501375</v>
      </c>
      <c r="C7" s="206">
        <f>'2-ф2'!AC18+'2-ф2'!AC17+'2-ф2'!AC16</f>
        <v>13854.629592453044</v>
      </c>
      <c r="D7" s="206">
        <f>'2-ф2'!AD18+'2-ф2'!AD17+'2-ф2'!AD16</f>
        <v>15005.95880396439</v>
      </c>
      <c r="E7" s="206">
        <f>'2-ф2'!AE18+'2-ф2'!AE17+'2-ф2'!AE16</f>
        <v>15609.778899482924</v>
      </c>
      <c r="F7" s="206">
        <f>'2-ф2'!AF18+'2-ф2'!AF17+'2-ф2'!AF16</f>
        <v>16242.057785114686</v>
      </c>
      <c r="G7" s="206">
        <f>'2-ф2'!AG18+'2-ф2'!AG17+'2-ф2'!AG16</f>
        <v>16904.093178427327</v>
      </c>
      <c r="H7" s="206">
        <f>'2-ф2'!AH18+'2-ф2'!AH17+'2-ф2'!AH16</f>
        <v>17597.238630562824</v>
      </c>
      <c r="I7" s="206">
        <f>'2-ф2'!AI18+'2-ф2'!AI17+'2-ф2'!AI16</f>
        <v>18324.864485641276</v>
      </c>
      <c r="J7" s="206">
        <f>'2-ф2'!AJ18+'2-ф2'!AJ17+'2-ф2'!AJ16</f>
        <v>19158.99830110933</v>
      </c>
    </row>
    <row r="8" spans="1:10" ht="12.75">
      <c r="A8" s="205" t="s">
        <v>83</v>
      </c>
      <c r="B8" s="206">
        <f>'2-ф2'!P11</f>
        <v>644.1</v>
      </c>
      <c r="C8" s="206">
        <f>'2-ф2'!AC11</f>
        <v>5391</v>
      </c>
      <c r="D8" s="206">
        <f>'2-ф2'!AD11</f>
        <v>3220.2000000000003</v>
      </c>
      <c r="E8" s="206">
        <f>'2-ф2'!AE11</f>
        <v>3605.3999999999996</v>
      </c>
      <c r="F8" s="206">
        <f>'2-ф2'!AF11</f>
        <v>3816</v>
      </c>
      <c r="G8" s="206">
        <f>'2-ф2'!AG11</f>
        <v>3990.6000000000004</v>
      </c>
      <c r="H8" s="206">
        <f>'2-ф2'!AH11</f>
        <v>4165.2</v>
      </c>
      <c r="I8" s="206">
        <f>'2-ф2'!AI11</f>
        <v>4375.799999999999</v>
      </c>
      <c r="J8" s="206">
        <f>'2-ф2'!AJ11</f>
        <v>4550.400000000001</v>
      </c>
    </row>
    <row r="9" spans="1:10" ht="12.75">
      <c r="A9" s="205" t="s">
        <v>84</v>
      </c>
      <c r="B9" s="208">
        <f aca="true" t="shared" si="3" ref="B9:H9">B4-B8</f>
        <v>1467.9</v>
      </c>
      <c r="C9" s="208">
        <f t="shared" si="3"/>
        <v>11889</v>
      </c>
      <c r="D9" s="208">
        <f t="shared" si="3"/>
        <v>16363.8</v>
      </c>
      <c r="E9" s="208">
        <f t="shared" si="3"/>
        <v>18282.6</v>
      </c>
      <c r="F9" s="208">
        <f t="shared" si="3"/>
        <v>19224</v>
      </c>
      <c r="G9" s="208">
        <f t="shared" si="3"/>
        <v>20201.4</v>
      </c>
      <c r="H9" s="208">
        <f t="shared" si="3"/>
        <v>21178.8</v>
      </c>
      <c r="I9" s="208">
        <f>I4-I8</f>
        <v>22120.2</v>
      </c>
      <c r="J9" s="208">
        <f>J4-J8</f>
        <v>23097.6</v>
      </c>
    </row>
    <row r="10" spans="1:10" ht="12.75">
      <c r="A10" s="205" t="s">
        <v>67</v>
      </c>
      <c r="B10" s="209">
        <f aca="true" t="shared" si="4" ref="B10:H10">B9/B4</f>
        <v>0.6950284090909091</v>
      </c>
      <c r="C10" s="209">
        <f t="shared" si="4"/>
        <v>0.6880208333333333</v>
      </c>
      <c r="D10" s="209">
        <f t="shared" si="4"/>
        <v>0.8355698529411765</v>
      </c>
      <c r="E10" s="209">
        <f t="shared" si="4"/>
        <v>0.8352796052631578</v>
      </c>
      <c r="F10" s="209">
        <f t="shared" si="4"/>
        <v>0.834375</v>
      </c>
      <c r="G10" s="209">
        <f t="shared" si="4"/>
        <v>0.835044642857143</v>
      </c>
      <c r="H10" s="209">
        <f t="shared" si="4"/>
        <v>0.835653409090909</v>
      </c>
      <c r="I10" s="209">
        <f>I9/I4</f>
        <v>0.8348505434782609</v>
      </c>
      <c r="J10" s="209">
        <f>J9/J4</f>
        <v>0.8354166666666666</v>
      </c>
    </row>
    <row r="11" spans="1:10" ht="12.75">
      <c r="A11" s="205" t="s">
        <v>85</v>
      </c>
      <c r="B11" s="208">
        <f aca="true" t="shared" si="5" ref="B11:H11">B7/B10</f>
        <v>1862.7298115675453</v>
      </c>
      <c r="C11" s="208">
        <f t="shared" si="5"/>
        <v>20136.93324565469</v>
      </c>
      <c r="D11" s="208">
        <f t="shared" si="5"/>
        <v>17958.95190706551</v>
      </c>
      <c r="E11" s="208">
        <f t="shared" si="5"/>
        <v>18688.08815769542</v>
      </c>
      <c r="F11" s="208">
        <f t="shared" si="5"/>
        <v>19466.1366712985</v>
      </c>
      <c r="G11" s="208">
        <f t="shared" si="5"/>
        <v>20243.340668097946</v>
      </c>
      <c r="H11" s="208">
        <f t="shared" si="5"/>
        <v>21058.058806588866</v>
      </c>
      <c r="I11" s="208">
        <f>I7/I10</f>
        <v>21949.874296414644</v>
      </c>
      <c r="J11" s="208">
        <f>J7/J10</f>
        <v>22933.46430057975</v>
      </c>
    </row>
    <row r="12" spans="1:10" ht="25.5">
      <c r="A12" s="210" t="s">
        <v>68</v>
      </c>
      <c r="B12" s="211">
        <f aca="true" t="shared" si="6" ref="B12:H12">(B4-B11)/B4</f>
        <v>0.11802565740173043</v>
      </c>
      <c r="C12" s="211">
        <f t="shared" si="6"/>
        <v>-0.16533178504946128</v>
      </c>
      <c r="D12" s="211">
        <f t="shared" si="6"/>
        <v>0.08297835441863197</v>
      </c>
      <c r="E12" s="211">
        <f t="shared" si="6"/>
        <v>0.1461948027368686</v>
      </c>
      <c r="F12" s="211">
        <f t="shared" si="6"/>
        <v>0.15511559586378038</v>
      </c>
      <c r="G12" s="211">
        <f t="shared" si="6"/>
        <v>0.16322169857399363</v>
      </c>
      <c r="H12" s="211">
        <f t="shared" si="6"/>
        <v>0.16911068471477012</v>
      </c>
      <c r="I12" s="211">
        <f>(I4-I11)/I4</f>
        <v>0.17157781188048596</v>
      </c>
      <c r="J12" s="211">
        <f>(J4-J11)/J4</f>
        <v>0.1705199544061143</v>
      </c>
    </row>
    <row r="13" spans="1:10" ht="12.75">
      <c r="A13" s="248" t="s">
        <v>95</v>
      </c>
      <c r="B13" s="249">
        <f aca="true" t="shared" si="7" ref="B13:H13">100%-B12</f>
        <v>0.8819743425982696</v>
      </c>
      <c r="C13" s="249">
        <f t="shared" si="7"/>
        <v>1.1653317850494613</v>
      </c>
      <c r="D13" s="249">
        <f t="shared" si="7"/>
        <v>0.917021645581368</v>
      </c>
      <c r="E13" s="249">
        <f t="shared" si="7"/>
        <v>0.8538051972631314</v>
      </c>
      <c r="F13" s="249">
        <f t="shared" si="7"/>
        <v>0.8448844041362196</v>
      </c>
      <c r="G13" s="249">
        <f t="shared" si="7"/>
        <v>0.8367783014260064</v>
      </c>
      <c r="H13" s="249">
        <f t="shared" si="7"/>
        <v>0.8308893152852299</v>
      </c>
      <c r="I13" s="249">
        <f>100%-I12</f>
        <v>0.8284221881195141</v>
      </c>
      <c r="J13" s="249">
        <f>100%-J12</f>
        <v>0.8294800455938857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7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50.375" style="71" bestFit="1" customWidth="1"/>
    <col min="2" max="2" width="15.875" style="72" customWidth="1"/>
    <col min="3" max="3" width="13.625" style="70" customWidth="1"/>
    <col min="4" max="4" width="8.00390625" style="70" customWidth="1"/>
    <col min="5" max="5" width="7.625" style="70" bestFit="1" customWidth="1"/>
    <col min="6" max="6" width="7.875" style="70" bestFit="1" customWidth="1"/>
    <col min="7" max="9" width="7.625" style="70" bestFit="1" customWidth="1"/>
    <col min="10" max="16384" width="9.125" style="70" customWidth="1"/>
  </cols>
  <sheetData>
    <row r="1" ht="13.5" customHeight="1">
      <c r="A1" s="224" t="s">
        <v>181</v>
      </c>
    </row>
    <row r="2" ht="12.75">
      <c r="A2" s="224" t="s">
        <v>339</v>
      </c>
    </row>
    <row r="4" spans="1:2" ht="13.5" customHeight="1">
      <c r="A4" s="219" t="s">
        <v>221</v>
      </c>
      <c r="B4" s="242" t="s">
        <v>222</v>
      </c>
    </row>
    <row r="5" spans="1:2" ht="12.75">
      <c r="A5" s="215" t="s">
        <v>163</v>
      </c>
      <c r="B5" s="253">
        <f>'1-Ф3'!AS52</f>
        <v>0.2730051404502083</v>
      </c>
    </row>
    <row r="6" spans="1:2" ht="12.75">
      <c r="A6" s="215" t="s">
        <v>164</v>
      </c>
      <c r="B6" s="216">
        <f>'1-Ф3'!AS50</f>
        <v>8744.213155922895</v>
      </c>
    </row>
    <row r="7" spans="1:2" ht="12.75">
      <c r="A7" s="215" t="s">
        <v>325</v>
      </c>
      <c r="B7" s="223">
        <f>'1-Ф3'!AS51</f>
        <v>1.9806839002403103</v>
      </c>
    </row>
    <row r="8" spans="1:2" ht="12.75">
      <c r="A8" s="215" t="s">
        <v>165</v>
      </c>
      <c r="B8" s="223">
        <f>'1-Ф3'!B53</f>
        <v>3.7543200519905264</v>
      </c>
    </row>
    <row r="9" spans="1:2" ht="12.75">
      <c r="A9" s="215" t="s">
        <v>166</v>
      </c>
      <c r="B9" s="223">
        <f>'1-Ф3'!B54</f>
        <v>4.403805988243926</v>
      </c>
    </row>
    <row r="11" spans="1:3" ht="13.5" customHeight="1">
      <c r="A11" s="219" t="s">
        <v>182</v>
      </c>
      <c r="B11" s="277" t="s">
        <v>171</v>
      </c>
      <c r="C11" s="277" t="s">
        <v>156</v>
      </c>
    </row>
    <row r="12" spans="1:3" ht="13.5" customHeight="1">
      <c r="A12" s="215" t="s">
        <v>155</v>
      </c>
      <c r="B12" s="216">
        <f>'1-Ф3'!B25</f>
        <v>8641</v>
      </c>
      <c r="C12" s="221">
        <f>B12/$B$14</f>
        <v>0.8858475575375467</v>
      </c>
    </row>
    <row r="13" spans="1:3" ht="13.5" customHeight="1">
      <c r="A13" s="215" t="s">
        <v>154</v>
      </c>
      <c r="B13" s="216">
        <f>'1-Ф3'!B31-'1-Ф3'!B25</f>
        <v>1113.5</v>
      </c>
      <c r="C13" s="221">
        <f>B13/$B$14</f>
        <v>0.11415244246245322</v>
      </c>
    </row>
    <row r="14" spans="1:3" ht="13.5" customHeight="1">
      <c r="A14" s="217" t="s">
        <v>80</v>
      </c>
      <c r="B14" s="218">
        <f>SUM(B12:B13)</f>
        <v>9754.5</v>
      </c>
      <c r="C14" s="222">
        <f>SUM(C12:C13)</f>
        <v>1</v>
      </c>
    </row>
    <row r="15" spans="1:2" ht="13.5" customHeight="1">
      <c r="A15" s="73"/>
      <c r="B15" s="74"/>
    </row>
    <row r="16" spans="1:3" ht="13.5" customHeight="1">
      <c r="A16" s="219" t="s">
        <v>176</v>
      </c>
      <c r="B16" s="277" t="str">
        <f>B11</f>
        <v>Сумма, тыс.тг.</v>
      </c>
      <c r="C16" s="277" t="str">
        <f>C11</f>
        <v>Доля</v>
      </c>
    </row>
    <row r="17" spans="1:3" ht="13.5" customHeight="1">
      <c r="A17" s="215" t="str">
        <f>Исх!A9</f>
        <v>Собственные средства</v>
      </c>
      <c r="B17" s="216">
        <f>'1-Ф3'!B32</f>
        <v>2398.175</v>
      </c>
      <c r="C17" s="221">
        <f>B17/$B$19</f>
        <v>0.2458531959608386</v>
      </c>
    </row>
    <row r="18" spans="1:3" ht="13.5" customHeight="1">
      <c r="A18" s="215" t="str">
        <f>Исх!A10</f>
        <v>Заемные средства</v>
      </c>
      <c r="B18" s="216">
        <f>'1-Ф3'!B33</f>
        <v>7356.325</v>
      </c>
      <c r="C18" s="221">
        <f>B18/$B$19</f>
        <v>0.7541468040391613</v>
      </c>
    </row>
    <row r="19" spans="1:3" ht="12.75">
      <c r="A19" s="217" t="s">
        <v>80</v>
      </c>
      <c r="B19" s="218">
        <f>SUM(B17:B18)</f>
        <v>9754.5</v>
      </c>
      <c r="C19" s="222">
        <f>SUM(C17:C18)</f>
        <v>1</v>
      </c>
    </row>
    <row r="20" spans="1:2" ht="12.75">
      <c r="A20" s="76"/>
      <c r="B20" s="75"/>
    </row>
    <row r="21" spans="1:2" ht="13.5" customHeight="1" hidden="1">
      <c r="A21" s="219" t="s">
        <v>138</v>
      </c>
      <c r="B21" s="242" t="s">
        <v>6</v>
      </c>
    </row>
    <row r="22" spans="1:2" ht="12.75" hidden="1">
      <c r="A22" s="215" t="s">
        <v>157</v>
      </c>
      <c r="B22" s="216" t="s">
        <v>158</v>
      </c>
    </row>
    <row r="23" spans="1:2" ht="12.75" hidden="1">
      <c r="A23" s="215" t="s">
        <v>159</v>
      </c>
      <c r="B23" s="221">
        <f>Исх!C46</f>
        <v>0.07</v>
      </c>
    </row>
    <row r="24" spans="1:2" ht="12.75" hidden="1">
      <c r="A24" s="215" t="s">
        <v>173</v>
      </c>
      <c r="B24" s="223">
        <f>Исх!C47</f>
        <v>7</v>
      </c>
    </row>
    <row r="25" spans="1:2" ht="12.75" hidden="1">
      <c r="A25" s="215" t="s">
        <v>160</v>
      </c>
      <c r="B25" s="216" t="s">
        <v>161</v>
      </c>
    </row>
    <row r="26" spans="1:2" ht="12.75" hidden="1">
      <c r="A26" s="215" t="s">
        <v>162</v>
      </c>
      <c r="B26" s="216">
        <f>Исх!C48</f>
        <v>6</v>
      </c>
    </row>
    <row r="27" spans="1:2" ht="12.75" hidden="1">
      <c r="A27" s="215" t="s">
        <v>203</v>
      </c>
      <c r="B27" s="216">
        <f>Исх!C49</f>
        <v>12</v>
      </c>
    </row>
    <row r="28" spans="1:2" ht="12.75" hidden="1">
      <c r="A28" s="215" t="s">
        <v>180</v>
      </c>
      <c r="B28" s="216" t="s">
        <v>223</v>
      </c>
    </row>
    <row r="29" ht="12.75" hidden="1"/>
    <row r="30" spans="1:11" ht="12.75">
      <c r="A30" s="219" t="s">
        <v>288</v>
      </c>
      <c r="B30" s="293" t="s">
        <v>177</v>
      </c>
      <c r="C30" s="293">
        <v>2013</v>
      </c>
      <c r="D30" s="254">
        <f aca="true" t="shared" si="0" ref="D30:K30">D39</f>
        <v>2014</v>
      </c>
      <c r="E30" s="263">
        <f t="shared" si="0"/>
        <v>2015</v>
      </c>
      <c r="F30" s="263">
        <f t="shared" si="0"/>
        <v>2016</v>
      </c>
      <c r="G30" s="263">
        <f t="shared" si="0"/>
        <v>2017</v>
      </c>
      <c r="H30" s="263">
        <f t="shared" si="0"/>
        <v>2018</v>
      </c>
      <c r="I30" s="263">
        <f t="shared" si="0"/>
        <v>2019</v>
      </c>
      <c r="J30" s="263">
        <f t="shared" si="0"/>
        <v>2020</v>
      </c>
      <c r="K30" s="277">
        <f t="shared" si="0"/>
        <v>2021</v>
      </c>
    </row>
    <row r="31" spans="1:11" ht="12.75">
      <c r="A31" s="215" t="s">
        <v>289</v>
      </c>
      <c r="B31" s="308" t="s">
        <v>37</v>
      </c>
      <c r="C31" s="221">
        <f>Услуги!P5</f>
        <v>0.55</v>
      </c>
      <c r="D31" s="221">
        <f>Услуги!AC5</f>
        <v>0.75</v>
      </c>
      <c r="E31" s="221">
        <f>Услуги!AD5</f>
        <v>0.85</v>
      </c>
      <c r="F31" s="221">
        <f>Услуги!AE5</f>
        <v>0.95</v>
      </c>
      <c r="G31" s="221">
        <f>Услуги!AF5</f>
        <v>1</v>
      </c>
      <c r="H31" s="221">
        <f>Услуги!AG5</f>
        <v>1.05</v>
      </c>
      <c r="I31" s="221">
        <f>Услуги!AH5</f>
        <v>1.1</v>
      </c>
      <c r="J31" s="221">
        <f>Услуги!AI5</f>
        <v>1.15</v>
      </c>
      <c r="K31" s="221">
        <f>Услуги!AJ5</f>
        <v>1.2</v>
      </c>
    </row>
    <row r="32" spans="1:11" ht="12.75">
      <c r="A32" s="360" t="str">
        <f>Услуги!A6</f>
        <v>Групповые занятия</v>
      </c>
      <c r="B32" s="309" t="str">
        <f>Услуги!C6</f>
        <v>чел.</v>
      </c>
      <c r="C32" s="216">
        <f>Услуги!P6</f>
        <v>33</v>
      </c>
      <c r="D32" s="216">
        <f>Услуги!AC6</f>
        <v>45</v>
      </c>
      <c r="E32" s="216">
        <f>Услуги!AD6</f>
        <v>51</v>
      </c>
      <c r="F32" s="216">
        <f>Услуги!AE6</f>
        <v>57</v>
      </c>
      <c r="G32" s="216">
        <f>Услуги!AF6</f>
        <v>60</v>
      </c>
      <c r="H32" s="216">
        <f>Услуги!AG6</f>
        <v>63</v>
      </c>
      <c r="I32" s="216">
        <f>Услуги!AH6</f>
        <v>66</v>
      </c>
      <c r="J32" s="216">
        <f>Услуги!AI6</f>
        <v>69</v>
      </c>
      <c r="K32" s="216">
        <f>Услуги!AJ6</f>
        <v>72</v>
      </c>
    </row>
    <row r="33" spans="1:11" ht="12.75">
      <c r="A33" s="361"/>
      <c r="B33" s="309" t="str">
        <f>Услуги!C7</f>
        <v>групп</v>
      </c>
      <c r="C33" s="216">
        <f>Услуги!P7</f>
        <v>4.5</v>
      </c>
      <c r="D33" s="216">
        <f>Услуги!AC7</f>
        <v>6.416666666666667</v>
      </c>
      <c r="E33" s="216">
        <f>Услуги!AD7</f>
        <v>7</v>
      </c>
      <c r="F33" s="216">
        <f>Услуги!AE7</f>
        <v>8</v>
      </c>
      <c r="G33" s="216">
        <f>Услуги!AF7</f>
        <v>9</v>
      </c>
      <c r="H33" s="216">
        <f>Услуги!AG7</f>
        <v>9</v>
      </c>
      <c r="I33" s="216">
        <f>Услуги!AH7</f>
        <v>9</v>
      </c>
      <c r="J33" s="216">
        <f>Услуги!AI7</f>
        <v>10</v>
      </c>
      <c r="K33" s="216">
        <f>Услуги!AJ7</f>
        <v>10</v>
      </c>
    </row>
    <row r="34" spans="1:11" ht="12.75">
      <c r="A34" s="215" t="str">
        <f>Услуги!A8</f>
        <v>Индивидуальные занятия</v>
      </c>
      <c r="B34" s="309" t="str">
        <f>Услуги!C8</f>
        <v>час</v>
      </c>
      <c r="C34" s="216">
        <f>Услуги!P8</f>
        <v>33</v>
      </c>
      <c r="D34" s="216">
        <f>Услуги!AC8</f>
        <v>45</v>
      </c>
      <c r="E34" s="216">
        <f>Услуги!AD8</f>
        <v>51</v>
      </c>
      <c r="F34" s="216">
        <f>Услуги!AE8</f>
        <v>57</v>
      </c>
      <c r="G34" s="216">
        <f>Услуги!AF8</f>
        <v>60</v>
      </c>
      <c r="H34" s="216">
        <f>Услуги!AG8</f>
        <v>63</v>
      </c>
      <c r="I34" s="216">
        <f>Услуги!AH8</f>
        <v>66</v>
      </c>
      <c r="J34" s="216">
        <f>Услуги!AI8</f>
        <v>69</v>
      </c>
      <c r="K34" s="216">
        <f>Услуги!AJ8</f>
        <v>72</v>
      </c>
    </row>
    <row r="35" spans="1:11" ht="12.75">
      <c r="A35" s="215" t="str">
        <f>Услуги!A9</f>
        <v>Wedding program, постановка корпоративных номеров</v>
      </c>
      <c r="B35" s="309" t="str">
        <f>Услуги!C9</f>
        <v>пакет</v>
      </c>
      <c r="C35" s="216">
        <f>Услуги!P9</f>
        <v>3.3</v>
      </c>
      <c r="D35" s="216">
        <f>Услуги!AC9</f>
        <v>4.5</v>
      </c>
      <c r="E35" s="216">
        <f>Услуги!AD9</f>
        <v>5.1</v>
      </c>
      <c r="F35" s="216">
        <f>Услуги!AE9</f>
        <v>5.699999999999999</v>
      </c>
      <c r="G35" s="216">
        <f>Услуги!AF9</f>
        <v>6</v>
      </c>
      <c r="H35" s="216">
        <f>Услуги!AG9</f>
        <v>6.300000000000001</v>
      </c>
      <c r="I35" s="216">
        <f>Услуги!AH9</f>
        <v>6.6000000000000005</v>
      </c>
      <c r="J35" s="216">
        <f>Услуги!AI9</f>
        <v>6.8999999999999995</v>
      </c>
      <c r="K35" s="216">
        <f>Услуги!AJ9</f>
        <v>7.199999999999999</v>
      </c>
    </row>
    <row r="36" spans="1:11" ht="12.75">
      <c r="A36" s="215" t="str">
        <f>Услуги!A10</f>
        <v>Аренда танцевальных залов</v>
      </c>
      <c r="B36" s="309" t="str">
        <f>Услуги!C10</f>
        <v>час</v>
      </c>
      <c r="C36" s="216">
        <f>Услуги!P10</f>
        <v>49.5</v>
      </c>
      <c r="D36" s="216">
        <f>Услуги!AC10</f>
        <v>67.5</v>
      </c>
      <c r="E36" s="216">
        <f>Услуги!AD10</f>
        <v>76.5</v>
      </c>
      <c r="F36" s="216">
        <f>Услуги!AE10</f>
        <v>85.5</v>
      </c>
      <c r="G36" s="216">
        <f>Услуги!AF10</f>
        <v>90</v>
      </c>
      <c r="H36" s="216">
        <f>Услуги!AG10</f>
        <v>94.5</v>
      </c>
      <c r="I36" s="216">
        <f>Услуги!AH10</f>
        <v>99.00000000000001</v>
      </c>
      <c r="J36" s="216">
        <f>Услуги!AI10</f>
        <v>103.49999999999999</v>
      </c>
      <c r="K36" s="216">
        <f>Услуги!AJ10</f>
        <v>108</v>
      </c>
    </row>
    <row r="37" spans="1:11" ht="12.75">
      <c r="A37" s="215" t="str">
        <f>Услуги!A11</f>
        <v>Буфет</v>
      </c>
      <c r="B37" s="309" t="str">
        <f>Услуги!C11</f>
        <v>чел.</v>
      </c>
      <c r="C37" s="216">
        <f>Услуги!P11</f>
        <v>198</v>
      </c>
      <c r="D37" s="216">
        <f>Услуги!AC11</f>
        <v>270</v>
      </c>
      <c r="E37" s="216">
        <f>Услуги!AD11</f>
        <v>306</v>
      </c>
      <c r="F37" s="216">
        <f>Услуги!AE11</f>
        <v>342</v>
      </c>
      <c r="G37" s="216">
        <f>Услуги!AF11</f>
        <v>360</v>
      </c>
      <c r="H37" s="216">
        <f>Услуги!AG11</f>
        <v>378</v>
      </c>
      <c r="I37" s="216">
        <f>Услуги!AH11</f>
        <v>396.00000000000006</v>
      </c>
      <c r="J37" s="216">
        <f>Услуги!AI11</f>
        <v>413.99999999999994</v>
      </c>
      <c r="K37" s="216">
        <f>Услуги!AJ11</f>
        <v>432</v>
      </c>
    </row>
    <row r="39" spans="1:11" ht="13.5" customHeight="1">
      <c r="A39" s="219" t="s">
        <v>183</v>
      </c>
      <c r="B39" s="293" t="s">
        <v>177</v>
      </c>
      <c r="C39" s="293">
        <v>2013</v>
      </c>
      <c r="D39" s="263">
        <v>2014</v>
      </c>
      <c r="E39" s="263">
        <f aca="true" t="shared" si="1" ref="E39:K39">D39+1</f>
        <v>2015</v>
      </c>
      <c r="F39" s="271">
        <f t="shared" si="1"/>
        <v>2016</v>
      </c>
      <c r="G39" s="271">
        <f t="shared" si="1"/>
        <v>2017</v>
      </c>
      <c r="H39" s="271">
        <f t="shared" si="1"/>
        <v>2018</v>
      </c>
      <c r="I39" s="271">
        <f t="shared" si="1"/>
        <v>2019</v>
      </c>
      <c r="J39" s="271">
        <f t="shared" si="1"/>
        <v>2020</v>
      </c>
      <c r="K39" s="277">
        <f t="shared" si="1"/>
        <v>2021</v>
      </c>
    </row>
    <row r="40" spans="1:13" ht="12.75">
      <c r="A40" s="215" t="s">
        <v>290</v>
      </c>
      <c r="B40" s="309" t="s">
        <v>51</v>
      </c>
      <c r="C40" s="216">
        <f>'2-ф2'!P5</f>
        <v>2112</v>
      </c>
      <c r="D40" s="216">
        <f>'2-ф2'!AC5</f>
        <v>17280</v>
      </c>
      <c r="E40" s="216">
        <f>'2-ф2'!AD5</f>
        <v>19584</v>
      </c>
      <c r="F40" s="216">
        <f>'2-ф2'!AE5</f>
        <v>21888</v>
      </c>
      <c r="G40" s="216">
        <f>'2-ф2'!AF5</f>
        <v>23040</v>
      </c>
      <c r="H40" s="216">
        <f>'2-ф2'!AG5</f>
        <v>24192</v>
      </c>
      <c r="I40" s="216">
        <f>'2-ф2'!AH5</f>
        <v>25344</v>
      </c>
      <c r="J40" s="216">
        <f>'2-ф2'!AI5</f>
        <v>26496</v>
      </c>
      <c r="K40" s="216">
        <f>'2-ф2'!AJ5</f>
        <v>27648</v>
      </c>
      <c r="M40" s="311"/>
    </row>
    <row r="41" spans="1:13" ht="12.75">
      <c r="A41" s="215" t="s">
        <v>14</v>
      </c>
      <c r="B41" s="309" t="s">
        <v>51</v>
      </c>
      <c r="C41" s="216">
        <f>'2-ф2'!P15</f>
        <v>1467.9</v>
      </c>
      <c r="D41" s="216">
        <f>'2-ф2'!AC15</f>
        <v>11889</v>
      </c>
      <c r="E41" s="216">
        <f>'2-ф2'!AD15</f>
        <v>16363.8</v>
      </c>
      <c r="F41" s="216">
        <f>'2-ф2'!AE15</f>
        <v>18282.6</v>
      </c>
      <c r="G41" s="216">
        <f>'2-ф2'!AF15</f>
        <v>19224</v>
      </c>
      <c r="H41" s="216">
        <f>'2-ф2'!AG15</f>
        <v>20201.4</v>
      </c>
      <c r="I41" s="216">
        <f>'2-ф2'!AH15</f>
        <v>21178.8</v>
      </c>
      <c r="J41" s="216">
        <f>'2-ф2'!AI15</f>
        <v>22120.2</v>
      </c>
      <c r="K41" s="216">
        <f>'2-ф2'!AJ15</f>
        <v>23097.6</v>
      </c>
      <c r="M41" s="311"/>
    </row>
    <row r="42" spans="1:13" ht="12.75">
      <c r="A42" s="215" t="s">
        <v>224</v>
      </c>
      <c r="B42" s="309" t="s">
        <v>51</v>
      </c>
      <c r="C42" s="216">
        <f>'2-ф2'!P21</f>
        <v>155.92487625000007</v>
      </c>
      <c r="D42" s="216">
        <f>'2-ф2'!AC21</f>
        <v>-1956.6303839530424</v>
      </c>
      <c r="E42" s="216">
        <f>'2-ф2'!AD21</f>
        <v>1357.8411960356098</v>
      </c>
      <c r="F42" s="216">
        <f>'2-ф2'!AE21</f>
        <v>2449.8254216321097</v>
      </c>
      <c r="G42" s="216">
        <f>'2-ф2'!AF21</f>
        <v>2683.747993396782</v>
      </c>
      <c r="H42" s="216">
        <f>'2-ф2'!AG21</f>
        <v>2967.576139415407</v>
      </c>
      <c r="I42" s="216">
        <f>'2-ф2'!AH21</f>
        <v>3223.4052324934582</v>
      </c>
      <c r="J42" s="216">
        <f>'2-ф2'!AI21</f>
        <v>3415.8019629228534</v>
      </c>
      <c r="K42" s="216">
        <f>'2-ф2'!AJ21</f>
        <v>3544.7415290016006</v>
      </c>
      <c r="M42" s="311"/>
    </row>
    <row r="43" spans="1:11" ht="12.75">
      <c r="A43" s="215" t="s">
        <v>291</v>
      </c>
      <c r="B43" s="292" t="s">
        <v>37</v>
      </c>
      <c r="C43" s="307">
        <f>C41/C40</f>
        <v>0.6950284090909091</v>
      </c>
      <c r="D43" s="307">
        <f aca="true" t="shared" si="2" ref="D43:K43">D41/D40</f>
        <v>0.6880208333333333</v>
      </c>
      <c r="E43" s="307">
        <f t="shared" si="2"/>
        <v>0.8355698529411765</v>
      </c>
      <c r="F43" s="307">
        <f t="shared" si="2"/>
        <v>0.8352796052631578</v>
      </c>
      <c r="G43" s="307">
        <f t="shared" si="2"/>
        <v>0.834375</v>
      </c>
      <c r="H43" s="307">
        <f t="shared" si="2"/>
        <v>0.835044642857143</v>
      </c>
      <c r="I43" s="307">
        <f t="shared" si="2"/>
        <v>0.835653409090909</v>
      </c>
      <c r="J43" s="307">
        <f t="shared" si="2"/>
        <v>0.8348505434782609</v>
      </c>
      <c r="K43" s="307">
        <f t="shared" si="2"/>
        <v>0.8354166666666666</v>
      </c>
    </row>
    <row r="44" spans="1:11" ht="12.75">
      <c r="A44" s="215" t="s">
        <v>292</v>
      </c>
      <c r="B44" s="292" t="s">
        <v>37</v>
      </c>
      <c r="C44" s="221">
        <f>C42/C40</f>
        <v>0.07382806640625003</v>
      </c>
      <c r="D44" s="221">
        <f aca="true" t="shared" si="3" ref="D44:K44">D42/D40</f>
        <v>-0.11323092499728254</v>
      </c>
      <c r="E44" s="221">
        <f t="shared" si="3"/>
        <v>0.06933421139887713</v>
      </c>
      <c r="F44" s="221">
        <f t="shared" si="3"/>
        <v>0.11192550354678864</v>
      </c>
      <c r="G44" s="221">
        <f t="shared" si="3"/>
        <v>0.11648211776895755</v>
      </c>
      <c r="H44" s="221">
        <f t="shared" si="3"/>
        <v>0.12266766449303104</v>
      </c>
      <c r="I44" s="221">
        <f t="shared" si="3"/>
        <v>0.12718612817603608</v>
      </c>
      <c r="J44" s="221">
        <f t="shared" si="3"/>
        <v>0.12891764654751106</v>
      </c>
      <c r="K44" s="221">
        <f t="shared" si="3"/>
        <v>0.12820969071909724</v>
      </c>
    </row>
    <row r="45" spans="1:11" s="289" customFormat="1" ht="12.75">
      <c r="A45" s="269" t="s">
        <v>293</v>
      </c>
      <c r="B45" s="310" t="s">
        <v>51</v>
      </c>
      <c r="C45" s="270">
        <f>'1-Ф3'!P38</f>
        <v>420.52981374999945</v>
      </c>
      <c r="D45" s="270">
        <f>'1-Ф3'!AC38</f>
        <v>-54.164372965356165</v>
      </c>
      <c r="E45" s="270">
        <f>'1-Ф3'!AD38</f>
        <v>1175.4590379164006</v>
      </c>
      <c r="F45" s="270">
        <f>'1-Ф3'!AE38</f>
        <v>2189.730909131432</v>
      </c>
      <c r="G45" s="270">
        <f>'1-Ф3'!AF38</f>
        <v>2340.323294132867</v>
      </c>
      <c r="H45" s="270">
        <f>'1-Ф3'!AG38</f>
        <v>2534.7973074493793</v>
      </c>
      <c r="I45" s="270">
        <f>'1-Ф3'!AH38</f>
        <v>2694.81285034744</v>
      </c>
      <c r="J45" s="270">
        <f>'1-Ф3'!AI38</f>
        <v>3136.824431764373</v>
      </c>
      <c r="K45" s="270">
        <f>'1-Ф3'!AJ38</f>
        <v>4437.3665290016</v>
      </c>
    </row>
    <row r="47" ht="12.75">
      <c r="A47" s="224"/>
    </row>
    <row r="48" ht="12.75">
      <c r="A48" s="224" t="s">
        <v>167</v>
      </c>
    </row>
    <row r="49" spans="1:8" ht="12.75">
      <c r="A49" s="357" t="s">
        <v>226</v>
      </c>
      <c r="B49" s="359">
        <v>2013</v>
      </c>
      <c r="C49" s="359"/>
      <c r="D49" s="359"/>
      <c r="E49" s="359"/>
      <c r="F49" s="359"/>
      <c r="G49" s="359"/>
      <c r="H49" s="359"/>
    </row>
    <row r="50" spans="1:8" ht="12.75">
      <c r="A50" s="358"/>
      <c r="B50" s="220" t="s">
        <v>329</v>
      </c>
      <c r="C50" s="314" t="s">
        <v>330</v>
      </c>
      <c r="D50" s="314" t="s">
        <v>331</v>
      </c>
      <c r="E50" s="314" t="s">
        <v>332</v>
      </c>
      <c r="F50" s="314" t="s">
        <v>333</v>
      </c>
      <c r="G50" s="314" t="s">
        <v>334</v>
      </c>
      <c r="H50" s="314" t="s">
        <v>335</v>
      </c>
    </row>
    <row r="51" spans="1:8" ht="12.75">
      <c r="A51" s="225" t="s">
        <v>191</v>
      </c>
      <c r="B51" s="226"/>
      <c r="C51" s="226"/>
      <c r="D51" s="221"/>
      <c r="E51" s="221"/>
      <c r="F51" s="221"/>
      <c r="G51" s="221"/>
      <c r="H51" s="221"/>
    </row>
    <row r="52" spans="1:8" ht="12.75">
      <c r="A52" s="215" t="s">
        <v>294</v>
      </c>
      <c r="B52" s="216"/>
      <c r="C52" s="226"/>
      <c r="D52" s="221"/>
      <c r="E52" s="221"/>
      <c r="F52" s="221"/>
      <c r="G52" s="221"/>
      <c r="H52" s="221"/>
    </row>
    <row r="53" spans="1:8" ht="12.75">
      <c r="A53" s="225" t="s">
        <v>296</v>
      </c>
      <c r="B53" s="221"/>
      <c r="C53" s="226"/>
      <c r="D53" s="226"/>
      <c r="E53" s="221"/>
      <c r="F53" s="221"/>
      <c r="G53" s="221"/>
      <c r="H53" s="221"/>
    </row>
    <row r="54" spans="1:8" ht="12.75">
      <c r="A54" s="225" t="s">
        <v>229</v>
      </c>
      <c r="B54" s="221"/>
      <c r="C54" s="221"/>
      <c r="D54" s="226"/>
      <c r="E54" s="226"/>
      <c r="F54" s="226"/>
      <c r="G54" s="221"/>
      <c r="H54" s="221"/>
    </row>
    <row r="55" spans="1:8" ht="12.75">
      <c r="A55" s="215" t="s">
        <v>295</v>
      </c>
      <c r="B55" s="221"/>
      <c r="C55" s="221"/>
      <c r="D55" s="221"/>
      <c r="E55" s="226"/>
      <c r="F55" s="226"/>
      <c r="G55" s="221"/>
      <c r="H55" s="221"/>
    </row>
    <row r="56" spans="1:8" ht="12.75">
      <c r="A56" s="225" t="s">
        <v>297</v>
      </c>
      <c r="B56" s="221"/>
      <c r="C56" s="221"/>
      <c r="D56" s="221"/>
      <c r="E56" s="221"/>
      <c r="F56" s="226"/>
      <c r="G56" s="226"/>
      <c r="H56" s="221"/>
    </row>
    <row r="57" spans="1:8" ht="12.75">
      <c r="A57" s="215" t="s">
        <v>298</v>
      </c>
      <c r="B57" s="221"/>
      <c r="C57" s="221"/>
      <c r="D57" s="221"/>
      <c r="E57" s="221"/>
      <c r="F57" s="226"/>
      <c r="G57" s="226"/>
      <c r="H57" s="221"/>
    </row>
    <row r="58" spans="1:8" ht="12.75">
      <c r="A58" s="215" t="s">
        <v>299</v>
      </c>
      <c r="B58" s="221"/>
      <c r="C58" s="221"/>
      <c r="D58" s="221"/>
      <c r="E58" s="221"/>
      <c r="F58" s="221"/>
      <c r="G58" s="226"/>
      <c r="H58" s="226"/>
    </row>
    <row r="60" ht="12.75">
      <c r="A60" s="224" t="s">
        <v>286</v>
      </c>
    </row>
    <row r="62" spans="1:2" ht="12.75">
      <c r="A62" s="251" t="s">
        <v>170</v>
      </c>
      <c r="B62" s="252" t="s">
        <v>171</v>
      </c>
    </row>
    <row r="63" spans="1:2" ht="12.75" hidden="1">
      <c r="A63" s="215" t="s">
        <v>36</v>
      </c>
      <c r="B63" s="216">
        <f>'1-Ф3'!B21</f>
        <v>0</v>
      </c>
    </row>
    <row r="64" spans="1:2" ht="12.75">
      <c r="A64" s="215" t="s">
        <v>42</v>
      </c>
      <c r="B64" s="216">
        <f>'1-Ф3'!B20</f>
        <v>1990.79621854942</v>
      </c>
    </row>
    <row r="65" spans="1:2" ht="12.75">
      <c r="A65" s="225" t="s">
        <v>207</v>
      </c>
      <c r="B65" s="216">
        <f>(ФОТ!K23-ФОТ!J23-ФОТ!I23-ФОТ!H23)*12*8.17+'2-ф2'!B12/1.3*0.3</f>
        <v>13345.49787692308</v>
      </c>
    </row>
    <row r="66" spans="1:2" ht="12.75">
      <c r="A66" s="215" t="s">
        <v>287</v>
      </c>
      <c r="B66" s="216">
        <f>SUM(Пост!C21:J21)*12</f>
        <v>229.17861301875007</v>
      </c>
    </row>
    <row r="67" spans="1:2" ht="12.75">
      <c r="A67" s="217" t="s">
        <v>0</v>
      </c>
      <c r="B67" s="218">
        <f>SUM(B63:B66)</f>
        <v>15565.47270849125</v>
      </c>
    </row>
  </sheetData>
  <sheetProtection/>
  <mergeCells count="3">
    <mergeCell ref="A49:A50"/>
    <mergeCell ref="B49:H49"/>
    <mergeCell ref="A32:A33"/>
  </mergeCells>
  <printOptions/>
  <pageMargins left="0.1968503937007874" right="0.1968503937007874" top="0.6692913385826772" bottom="0.35433070866141736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S35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M18" sqref="AM18"/>
    </sheetView>
  </sheetViews>
  <sheetFormatPr defaultColWidth="10.125" defaultRowHeight="12.75" outlineLevelCol="1"/>
  <cols>
    <col min="1" max="1" width="38.125" style="87" customWidth="1"/>
    <col min="2" max="2" width="11.375" style="87" customWidth="1"/>
    <col min="3" max="3" width="3.875" style="87" customWidth="1"/>
    <col min="4" max="4" width="7.125" style="87" hidden="1" customWidth="1" outlineLevel="1"/>
    <col min="5" max="5" width="8.25390625" style="87" hidden="1" customWidth="1" outlineLevel="1"/>
    <col min="6" max="11" width="7.00390625" style="87" hidden="1" customWidth="1" outlineLevel="1"/>
    <col min="12" max="12" width="8.75390625" style="87" hidden="1" customWidth="1" outlineLevel="1"/>
    <col min="13" max="13" width="7.875" style="87" hidden="1" customWidth="1" outlineLevel="1"/>
    <col min="14" max="15" width="8.625" style="87" hidden="1" customWidth="1" outlineLevel="1"/>
    <col min="16" max="16" width="9.125" style="87" customWidth="1" collapsed="1"/>
    <col min="17" max="28" width="8.375" style="87" hidden="1" customWidth="1" outlineLevel="1"/>
    <col min="29" max="29" width="9.125" style="87" customWidth="1" collapsed="1"/>
    <col min="30" max="36" width="8.625" style="87" customWidth="1"/>
    <col min="37" max="16384" width="10.125" style="87" customWidth="1"/>
  </cols>
  <sheetData>
    <row r="1" spans="1:3" ht="21" customHeight="1">
      <c r="A1" s="61" t="s">
        <v>102</v>
      </c>
      <c r="B1" s="86"/>
      <c r="C1" s="86"/>
    </row>
    <row r="2" spans="1:3" ht="17.25" customHeight="1">
      <c r="A2" s="61"/>
      <c r="B2" s="12" t="str">
        <f>Исх!$C$11</f>
        <v>тыс.тг.</v>
      </c>
      <c r="C2" s="88"/>
    </row>
    <row r="3" spans="1:36" ht="12.75" customHeight="1">
      <c r="A3" s="323" t="s">
        <v>2</v>
      </c>
      <c r="B3" s="327" t="s">
        <v>80</v>
      </c>
      <c r="C3" s="90"/>
      <c r="D3" s="322">
        <v>2013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>
        <v>2014</v>
      </c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91">
        <v>2015</v>
      </c>
      <c r="AE3" s="91">
        <f aca="true" t="shared" si="0" ref="AE3:AJ3">AD3+1</f>
        <v>2016</v>
      </c>
      <c r="AF3" s="91">
        <f t="shared" si="0"/>
        <v>2017</v>
      </c>
      <c r="AG3" s="91">
        <f t="shared" si="0"/>
        <v>2018</v>
      </c>
      <c r="AH3" s="91">
        <f t="shared" si="0"/>
        <v>2019</v>
      </c>
      <c r="AI3" s="91">
        <f t="shared" si="0"/>
        <v>2020</v>
      </c>
      <c r="AJ3" s="91">
        <f t="shared" si="0"/>
        <v>2021</v>
      </c>
    </row>
    <row r="4" spans="1:36" ht="12.75">
      <c r="A4" s="324"/>
      <c r="B4" s="327"/>
      <c r="C4" s="92"/>
      <c r="D4" s="93">
        <v>1</v>
      </c>
      <c r="E4" s="93">
        <f aca="true" t="shared" si="1" ref="E4:O4">D4+1</f>
        <v>2</v>
      </c>
      <c r="F4" s="93">
        <f t="shared" si="1"/>
        <v>3</v>
      </c>
      <c r="G4" s="93">
        <f t="shared" si="1"/>
        <v>4</v>
      </c>
      <c r="H4" s="93">
        <f t="shared" si="1"/>
        <v>5</v>
      </c>
      <c r="I4" s="93">
        <f t="shared" si="1"/>
        <v>6</v>
      </c>
      <c r="J4" s="93">
        <f t="shared" si="1"/>
        <v>7</v>
      </c>
      <c r="K4" s="93">
        <f t="shared" si="1"/>
        <v>8</v>
      </c>
      <c r="L4" s="93">
        <f t="shared" si="1"/>
        <v>9</v>
      </c>
      <c r="M4" s="93">
        <f t="shared" si="1"/>
        <v>10</v>
      </c>
      <c r="N4" s="93">
        <f t="shared" si="1"/>
        <v>11</v>
      </c>
      <c r="O4" s="93">
        <f t="shared" si="1"/>
        <v>12</v>
      </c>
      <c r="P4" s="89" t="s">
        <v>0</v>
      </c>
      <c r="Q4" s="93">
        <v>1</v>
      </c>
      <c r="R4" s="93">
        <f aca="true" t="shared" si="2" ref="R4:AB4">Q4+1</f>
        <v>2</v>
      </c>
      <c r="S4" s="93">
        <f t="shared" si="2"/>
        <v>3</v>
      </c>
      <c r="T4" s="93">
        <f t="shared" si="2"/>
        <v>4</v>
      </c>
      <c r="U4" s="93">
        <f t="shared" si="2"/>
        <v>5</v>
      </c>
      <c r="V4" s="93">
        <f t="shared" si="2"/>
        <v>6</v>
      </c>
      <c r="W4" s="93">
        <f t="shared" si="2"/>
        <v>7</v>
      </c>
      <c r="X4" s="93">
        <f t="shared" si="2"/>
        <v>8</v>
      </c>
      <c r="Y4" s="93">
        <f t="shared" si="2"/>
        <v>9</v>
      </c>
      <c r="Z4" s="93">
        <f t="shared" si="2"/>
        <v>10</v>
      </c>
      <c r="AA4" s="93">
        <f t="shared" si="2"/>
        <v>11</v>
      </c>
      <c r="AB4" s="93">
        <f t="shared" si="2"/>
        <v>12</v>
      </c>
      <c r="AC4" s="89" t="s">
        <v>0</v>
      </c>
      <c r="AD4" s="89" t="s">
        <v>324</v>
      </c>
      <c r="AE4" s="89" t="s">
        <v>324</v>
      </c>
      <c r="AF4" s="89" t="s">
        <v>324</v>
      </c>
      <c r="AG4" s="89" t="s">
        <v>324</v>
      </c>
      <c r="AH4" s="89" t="s">
        <v>324</v>
      </c>
      <c r="AI4" s="89" t="s">
        <v>324</v>
      </c>
      <c r="AJ4" s="89" t="s">
        <v>324</v>
      </c>
    </row>
    <row r="5" spans="1:36" s="88" customFormat="1" ht="15" customHeight="1">
      <c r="A5" s="94" t="s">
        <v>103</v>
      </c>
      <c r="B5" s="95">
        <f>SUM(B6:B10)</f>
        <v>187584</v>
      </c>
      <c r="C5" s="96"/>
      <c r="D5" s="96">
        <f aca="true" t="shared" si="3" ref="D5:AJ5">SUM(D6:D10)</f>
        <v>0</v>
      </c>
      <c r="E5" s="96">
        <f t="shared" si="3"/>
        <v>0</v>
      </c>
      <c r="F5" s="96">
        <f t="shared" si="3"/>
        <v>0</v>
      </c>
      <c r="G5" s="96">
        <f t="shared" si="3"/>
        <v>0</v>
      </c>
      <c r="H5" s="96">
        <f t="shared" si="3"/>
        <v>0</v>
      </c>
      <c r="I5" s="96">
        <f t="shared" si="3"/>
        <v>0</v>
      </c>
      <c r="J5" s="96">
        <f t="shared" si="3"/>
        <v>0</v>
      </c>
      <c r="K5" s="96">
        <f t="shared" si="3"/>
        <v>0</v>
      </c>
      <c r="L5" s="96">
        <f t="shared" si="3"/>
        <v>0</v>
      </c>
      <c r="M5" s="96">
        <f t="shared" si="3"/>
        <v>0</v>
      </c>
      <c r="N5" s="96">
        <f t="shared" si="3"/>
        <v>960</v>
      </c>
      <c r="O5" s="96">
        <f t="shared" si="3"/>
        <v>1152</v>
      </c>
      <c r="P5" s="96">
        <f t="shared" si="3"/>
        <v>2112</v>
      </c>
      <c r="Q5" s="96">
        <f t="shared" si="3"/>
        <v>1248</v>
      </c>
      <c r="R5" s="96">
        <f t="shared" si="3"/>
        <v>1344</v>
      </c>
      <c r="S5" s="96">
        <f t="shared" si="3"/>
        <v>1440</v>
      </c>
      <c r="T5" s="96">
        <f t="shared" si="3"/>
        <v>1536</v>
      </c>
      <c r="U5" s="96">
        <f t="shared" si="3"/>
        <v>1536</v>
      </c>
      <c r="V5" s="96">
        <f t="shared" si="3"/>
        <v>960</v>
      </c>
      <c r="W5" s="96">
        <f t="shared" si="3"/>
        <v>960</v>
      </c>
      <c r="X5" s="96">
        <f t="shared" si="3"/>
        <v>960</v>
      </c>
      <c r="Y5" s="96">
        <f t="shared" si="3"/>
        <v>1536</v>
      </c>
      <c r="Z5" s="96">
        <f t="shared" si="3"/>
        <v>1728</v>
      </c>
      <c r="AA5" s="96">
        <f t="shared" si="3"/>
        <v>1920</v>
      </c>
      <c r="AB5" s="96">
        <f t="shared" si="3"/>
        <v>2112</v>
      </c>
      <c r="AC5" s="96">
        <f t="shared" si="3"/>
        <v>17280</v>
      </c>
      <c r="AD5" s="96">
        <f t="shared" si="3"/>
        <v>19584</v>
      </c>
      <c r="AE5" s="96">
        <f t="shared" si="3"/>
        <v>21888</v>
      </c>
      <c r="AF5" s="96">
        <f t="shared" si="3"/>
        <v>23040</v>
      </c>
      <c r="AG5" s="96">
        <f t="shared" si="3"/>
        <v>24192</v>
      </c>
      <c r="AH5" s="96">
        <f t="shared" si="3"/>
        <v>25344</v>
      </c>
      <c r="AI5" s="96">
        <f t="shared" si="3"/>
        <v>26496</v>
      </c>
      <c r="AJ5" s="96">
        <f t="shared" si="3"/>
        <v>27648</v>
      </c>
    </row>
    <row r="6" spans="1:36" s="88" customFormat="1" ht="12.75">
      <c r="A6" s="97" t="str">
        <f>Услуги!A6</f>
        <v>Групповые занятия</v>
      </c>
      <c r="B6" s="95">
        <f>P6+AC6+AD6+AE6+AF6+AG6+AH6+AI6+AJ6</f>
        <v>87930</v>
      </c>
      <c r="C6" s="96"/>
      <c r="D6" s="98">
        <f>Услуги!D6</f>
        <v>0</v>
      </c>
      <c r="E6" s="98">
        <f>Услуги!E6</f>
        <v>0</v>
      </c>
      <c r="F6" s="98"/>
      <c r="G6" s="98"/>
      <c r="H6" s="98"/>
      <c r="I6" s="98"/>
      <c r="J6" s="98"/>
      <c r="K6" s="98">
        <f>Услуги!K6</f>
        <v>0</v>
      </c>
      <c r="L6" s="98">
        <f>Услуги!L6</f>
        <v>0</v>
      </c>
      <c r="M6" s="98">
        <f>Услуги!M6</f>
        <v>0</v>
      </c>
      <c r="N6" s="98">
        <f>Услуги!N6*Дох!$D$5/1000</f>
        <v>450</v>
      </c>
      <c r="O6" s="98">
        <f>Услуги!O6*Дох!$D$5/1000</f>
        <v>540</v>
      </c>
      <c r="P6" s="96">
        <f>SUM(D6:O6)</f>
        <v>990</v>
      </c>
      <c r="Q6" s="98">
        <f>Услуги!Q6*Дох!$D$5/1000</f>
        <v>585</v>
      </c>
      <c r="R6" s="98">
        <f>Услуги!R6*Дох!$D$5/1000</f>
        <v>630</v>
      </c>
      <c r="S6" s="98">
        <f>Услуги!S6*Дох!$D$5/1000</f>
        <v>675</v>
      </c>
      <c r="T6" s="98">
        <f>Услуги!T6*Дох!$D$5/1000</f>
        <v>720</v>
      </c>
      <c r="U6" s="98">
        <f>Услуги!U6*Дох!$D$5/1000</f>
        <v>720</v>
      </c>
      <c r="V6" s="98">
        <f>Услуги!V6*Дох!$D$5/1000</f>
        <v>450</v>
      </c>
      <c r="W6" s="98">
        <f>Услуги!W6*Дох!$D$5/1000</f>
        <v>450</v>
      </c>
      <c r="X6" s="98">
        <f>Услуги!X6*Дох!$D$5/1000</f>
        <v>450</v>
      </c>
      <c r="Y6" s="98">
        <f>Услуги!Y6*Дох!$D$5/1000</f>
        <v>720</v>
      </c>
      <c r="Z6" s="98">
        <f>Услуги!Z6*Дох!$D$5/1000</f>
        <v>810</v>
      </c>
      <c r="AA6" s="98">
        <f>Услуги!AA6*Дох!$D$5/1000</f>
        <v>900</v>
      </c>
      <c r="AB6" s="98">
        <f>Услуги!AB6*Дох!$D$5/1000</f>
        <v>990</v>
      </c>
      <c r="AC6" s="96">
        <f>SUM(Q6:AB6)</f>
        <v>8100</v>
      </c>
      <c r="AD6" s="98">
        <f>Услуги!AD6*Дох!$D$5/1000*12</f>
        <v>9180</v>
      </c>
      <c r="AE6" s="98">
        <f>Услуги!AE6*Дох!$D$5/1000*12</f>
        <v>10260</v>
      </c>
      <c r="AF6" s="98">
        <f>Услуги!AF6*Дох!$D$5/1000*12</f>
        <v>10800</v>
      </c>
      <c r="AG6" s="98">
        <f>Услуги!AG6*Дох!$D$5/1000*12</f>
        <v>11340</v>
      </c>
      <c r="AH6" s="98">
        <f>Услуги!AH6*Дох!$D$5/1000*12</f>
        <v>11880</v>
      </c>
      <c r="AI6" s="98">
        <f>Услуги!AI6*Дох!$D$5/1000*12</f>
        <v>12420</v>
      </c>
      <c r="AJ6" s="98">
        <f>Услуги!AJ6*Дох!$D$5/1000*12</f>
        <v>12960</v>
      </c>
    </row>
    <row r="7" spans="1:36" s="88" customFormat="1" ht="12.75">
      <c r="A7" s="97" t="str">
        <f>Услуги!A8</f>
        <v>Индивидуальные занятия</v>
      </c>
      <c r="B7" s="95">
        <f>P7+AC7+AD7+AE7+AF7+AG7+AH7+AI7+AJ7</f>
        <v>29310</v>
      </c>
      <c r="C7" s="96"/>
      <c r="D7" s="98">
        <f>Услуги!D8</f>
        <v>0</v>
      </c>
      <c r="E7" s="98">
        <f>Услуги!E8</f>
        <v>0</v>
      </c>
      <c r="F7" s="98"/>
      <c r="G7" s="98"/>
      <c r="H7" s="98"/>
      <c r="I7" s="98"/>
      <c r="J7" s="98"/>
      <c r="K7" s="98">
        <f>Услуги!K8</f>
        <v>0</v>
      </c>
      <c r="L7" s="98">
        <f>Услуги!L8</f>
        <v>0</v>
      </c>
      <c r="M7" s="98">
        <f>Услуги!M8</f>
        <v>0</v>
      </c>
      <c r="N7" s="98">
        <f>Услуги!N8*Дох!$D$7/1000</f>
        <v>150</v>
      </c>
      <c r="O7" s="98">
        <f>Услуги!O8*Дох!$D$7/1000</f>
        <v>180</v>
      </c>
      <c r="P7" s="96">
        <f>SUM(D7:O7)</f>
        <v>330</v>
      </c>
      <c r="Q7" s="98">
        <f>Услуги!Q8*Дох!$D$7/1000</f>
        <v>195</v>
      </c>
      <c r="R7" s="98">
        <f>Услуги!R8*Дох!$D$7/1000</f>
        <v>210</v>
      </c>
      <c r="S7" s="98">
        <f>Услуги!S8*Дох!$D$7/1000</f>
        <v>225</v>
      </c>
      <c r="T7" s="98">
        <f>Услуги!T8*Дох!$D$7/1000</f>
        <v>240</v>
      </c>
      <c r="U7" s="98">
        <f>Услуги!U8*Дох!$D$7/1000</f>
        <v>240</v>
      </c>
      <c r="V7" s="98">
        <f>Услуги!V8*Дох!$D$7/1000</f>
        <v>150</v>
      </c>
      <c r="W7" s="98">
        <f>Услуги!W8*Дох!$D$7/1000</f>
        <v>150</v>
      </c>
      <c r="X7" s="98">
        <f>Услуги!X8*Дох!$D$7/1000</f>
        <v>150</v>
      </c>
      <c r="Y7" s="98">
        <f>Услуги!Y8*Дох!$D$7/1000</f>
        <v>240</v>
      </c>
      <c r="Z7" s="98">
        <f>Услуги!Z8*Дох!$D$7/1000</f>
        <v>270</v>
      </c>
      <c r="AA7" s="98">
        <f>Услуги!AA8*Дох!$D$7/1000</f>
        <v>300</v>
      </c>
      <c r="AB7" s="98">
        <f>Услуги!AB8*Дох!$D$7/1000</f>
        <v>330</v>
      </c>
      <c r="AC7" s="96">
        <f>SUM(Q7:AB7)</f>
        <v>2700</v>
      </c>
      <c r="AD7" s="98">
        <f>Услуги!AD8*Дох!$D$7/1000*12</f>
        <v>3060</v>
      </c>
      <c r="AE7" s="98">
        <f>Услуги!AE8*Дох!$D$7/1000*12</f>
        <v>3420</v>
      </c>
      <c r="AF7" s="98">
        <f>Услуги!AF8*Дох!$D$7/1000*12</f>
        <v>3600</v>
      </c>
      <c r="AG7" s="98">
        <f>Услуги!AG8*Дох!$D$7/1000*12</f>
        <v>3780</v>
      </c>
      <c r="AH7" s="98">
        <f>Услуги!AH8*Дох!$D$7/1000*12</f>
        <v>3960</v>
      </c>
      <c r="AI7" s="98">
        <f>Услуги!AI8*Дох!$D$7/1000*12</f>
        <v>4140</v>
      </c>
      <c r="AJ7" s="98">
        <f>Услуги!AJ8*Дох!$D$7/1000*12</f>
        <v>4320</v>
      </c>
    </row>
    <row r="8" spans="1:36" s="88" customFormat="1" ht="25.5">
      <c r="A8" s="97" t="str">
        <f>Услуги!A9</f>
        <v>Wedding program, постановка корпоративных номеров</v>
      </c>
      <c r="B8" s="95">
        <f>P8+AC8+AD8+AE8+AF8+AG8+AH8+AI8+AJ8</f>
        <v>35172</v>
      </c>
      <c r="C8" s="96"/>
      <c r="D8" s="98">
        <f>Услуги!D9</f>
        <v>0</v>
      </c>
      <c r="E8" s="98">
        <f>Услуги!E9</f>
        <v>0</v>
      </c>
      <c r="F8" s="98"/>
      <c r="G8" s="98"/>
      <c r="H8" s="98"/>
      <c r="I8" s="98"/>
      <c r="J8" s="98"/>
      <c r="K8" s="98">
        <f>Услуги!K9</f>
        <v>0</v>
      </c>
      <c r="L8" s="98">
        <f>Услуги!L9</f>
        <v>0</v>
      </c>
      <c r="M8" s="98">
        <f>Услуги!M9</f>
        <v>0</v>
      </c>
      <c r="N8" s="98">
        <f>Услуги!N9*Дох!$D$8/1000</f>
        <v>180</v>
      </c>
      <c r="O8" s="98">
        <f>Услуги!O9*Дох!$D$8/1000</f>
        <v>215.99999999999997</v>
      </c>
      <c r="P8" s="96">
        <f>SUM(D8:O8)</f>
        <v>396</v>
      </c>
      <c r="Q8" s="98">
        <f>Услуги!Q9*Дох!$D$8/1000</f>
        <v>234.00000000000003</v>
      </c>
      <c r="R8" s="98">
        <f>Услуги!R9*Дох!$D$8/1000</f>
        <v>251.99999999999997</v>
      </c>
      <c r="S8" s="98">
        <f>Услуги!S9*Дох!$D$8/1000</f>
        <v>270</v>
      </c>
      <c r="T8" s="98">
        <f>Услуги!T9*Дох!$D$8/1000</f>
        <v>288.00000000000006</v>
      </c>
      <c r="U8" s="98">
        <f>Услуги!U9*Дох!$D$8/1000</f>
        <v>288.00000000000006</v>
      </c>
      <c r="V8" s="98">
        <f>Услуги!V9*Дох!$D$8/1000</f>
        <v>180</v>
      </c>
      <c r="W8" s="98">
        <f>Услуги!W9*Дох!$D$8/1000</f>
        <v>180</v>
      </c>
      <c r="X8" s="98">
        <f>Услуги!X9*Дох!$D$8/1000</f>
        <v>180</v>
      </c>
      <c r="Y8" s="98">
        <f>Услуги!Y9*Дох!$D$8/1000</f>
        <v>288.00000000000006</v>
      </c>
      <c r="Z8" s="98">
        <f>Услуги!Z9*Дох!$D$8/1000</f>
        <v>324</v>
      </c>
      <c r="AA8" s="98">
        <f>Услуги!AA9*Дох!$D$8/1000</f>
        <v>360</v>
      </c>
      <c r="AB8" s="98">
        <f>Услуги!AB9*Дох!$D$8/1000</f>
        <v>396.00000000000006</v>
      </c>
      <c r="AC8" s="96">
        <f>SUM(Q8:AB8)</f>
        <v>3240</v>
      </c>
      <c r="AD8" s="98">
        <f>Услуги!AD9*Дох!$D$8/1000*12</f>
        <v>3672</v>
      </c>
      <c r="AE8" s="98">
        <f>Услуги!AE9*Дох!$D$8/1000*12</f>
        <v>4103.999999999999</v>
      </c>
      <c r="AF8" s="98">
        <f>Услуги!AF9*Дох!$D$8/1000*12</f>
        <v>4320</v>
      </c>
      <c r="AG8" s="98">
        <f>Услуги!AG9*Дох!$D$8/1000*12</f>
        <v>4536.000000000001</v>
      </c>
      <c r="AH8" s="98">
        <f>Услуги!AH9*Дох!$D$8/1000*12</f>
        <v>4752.000000000001</v>
      </c>
      <c r="AI8" s="98">
        <f>Услуги!AI9*Дох!$D$8/1000*12</f>
        <v>4967.999999999999</v>
      </c>
      <c r="AJ8" s="98">
        <f>Услуги!AJ9*Дох!$D$8/1000*12</f>
        <v>5183.999999999999</v>
      </c>
    </row>
    <row r="9" spans="1:36" s="88" customFormat="1" ht="12.75">
      <c r="A9" s="97" t="str">
        <f>Услуги!A10</f>
        <v>Аренда танцевальных залов</v>
      </c>
      <c r="B9" s="95">
        <f>P9+AC9+AD9+AE9+AF9+AG9+AH9+AI9+AJ9</f>
        <v>26379</v>
      </c>
      <c r="C9" s="96"/>
      <c r="D9" s="98">
        <f>Услуги!D10</f>
        <v>0</v>
      </c>
      <c r="E9" s="98">
        <f>Услуги!E10</f>
        <v>0</v>
      </c>
      <c r="F9" s="98"/>
      <c r="G9" s="98"/>
      <c r="H9" s="98"/>
      <c r="I9" s="98"/>
      <c r="J9" s="98"/>
      <c r="K9" s="98">
        <f>Услуги!K10</f>
        <v>0</v>
      </c>
      <c r="L9" s="98">
        <f>Услуги!L10</f>
        <v>0</v>
      </c>
      <c r="M9" s="98">
        <f>Услуги!M10</f>
        <v>0</v>
      </c>
      <c r="N9" s="98">
        <f>Услуги!N10*Дох!$D$9/1000</f>
        <v>135</v>
      </c>
      <c r="O9" s="98">
        <f>Услуги!O10*Дох!$D$9/1000</f>
        <v>162</v>
      </c>
      <c r="P9" s="96">
        <f>SUM(D9:O9)</f>
        <v>297</v>
      </c>
      <c r="Q9" s="98">
        <f>Услуги!Q10*Дох!$D$9/1000</f>
        <v>175.5</v>
      </c>
      <c r="R9" s="98">
        <f>Услуги!R10*Дох!$D$9/1000</f>
        <v>188.99999999999997</v>
      </c>
      <c r="S9" s="98">
        <f>Услуги!S10*Дох!$D$9/1000</f>
        <v>202.5</v>
      </c>
      <c r="T9" s="98">
        <f>Услуги!T10*Дох!$D$9/1000</f>
        <v>216</v>
      </c>
      <c r="U9" s="98">
        <f>Услуги!U10*Дох!$D$9/1000</f>
        <v>216</v>
      </c>
      <c r="V9" s="98">
        <f>Услуги!V10*Дох!$D$9/1000</f>
        <v>135</v>
      </c>
      <c r="W9" s="98">
        <f>Услуги!W10*Дох!$D$9/1000</f>
        <v>135</v>
      </c>
      <c r="X9" s="98">
        <f>Услуги!X10*Дох!$D$9/1000</f>
        <v>135</v>
      </c>
      <c r="Y9" s="98">
        <f>Услуги!Y10*Дох!$D$9/1000</f>
        <v>216</v>
      </c>
      <c r="Z9" s="98">
        <f>Услуги!Z10*Дох!$D$9/1000</f>
        <v>243</v>
      </c>
      <c r="AA9" s="98">
        <f>Услуги!AA10*Дох!$D$9/1000</f>
        <v>270</v>
      </c>
      <c r="AB9" s="98">
        <f>Услуги!AB10*Дох!$D$9/1000</f>
        <v>297.00000000000006</v>
      </c>
      <c r="AC9" s="96">
        <f>SUM(Q9:AB9)</f>
        <v>2430</v>
      </c>
      <c r="AD9" s="98">
        <f>Услуги!AD10*Дох!$D$9/1000*12</f>
        <v>2754</v>
      </c>
      <c r="AE9" s="98">
        <f>Услуги!AE10*Дох!$D$9/1000*12</f>
        <v>3078</v>
      </c>
      <c r="AF9" s="98">
        <f>Услуги!AF10*Дох!$D$9/1000*12</f>
        <v>3240</v>
      </c>
      <c r="AG9" s="98">
        <f>Услуги!AG10*Дох!$D$9/1000*12</f>
        <v>3402</v>
      </c>
      <c r="AH9" s="98">
        <f>Услуги!AH10*Дох!$D$9/1000*12</f>
        <v>3564.000000000001</v>
      </c>
      <c r="AI9" s="98">
        <f>Услуги!AI10*Дох!$D$9/1000*12</f>
        <v>3725.999999999999</v>
      </c>
      <c r="AJ9" s="98">
        <f>Услуги!AJ10*Дох!$D$9/1000*12</f>
        <v>3888</v>
      </c>
    </row>
    <row r="10" spans="1:36" s="88" customFormat="1" ht="12.75">
      <c r="A10" s="97" t="str">
        <f>Услуги!A11</f>
        <v>Буфет</v>
      </c>
      <c r="B10" s="95">
        <f>P10+AC10+AD10+AE10+AF10+AG10+AH10+AI10+AJ10</f>
        <v>8793</v>
      </c>
      <c r="C10" s="96"/>
      <c r="D10" s="98">
        <f>Услуги!D11</f>
        <v>0</v>
      </c>
      <c r="E10" s="98">
        <f>Услуги!E11</f>
        <v>0</v>
      </c>
      <c r="F10" s="98"/>
      <c r="G10" s="98"/>
      <c r="H10" s="98"/>
      <c r="I10" s="98"/>
      <c r="J10" s="98"/>
      <c r="K10" s="98">
        <f>Услуги!K11</f>
        <v>0</v>
      </c>
      <c r="L10" s="98">
        <f>Услуги!L11</f>
        <v>0</v>
      </c>
      <c r="M10" s="98">
        <f>Услуги!M11</f>
        <v>0</v>
      </c>
      <c r="N10" s="98">
        <f>Услуги!N11*Дох!$D$10/1000</f>
        <v>45</v>
      </c>
      <c r="O10" s="98">
        <f>Услуги!O11*Дох!$D$10/1000</f>
        <v>54</v>
      </c>
      <c r="P10" s="96">
        <f>SUM(D10:O10)</f>
        <v>99</v>
      </c>
      <c r="Q10" s="98">
        <f>Услуги!Q11*Дох!$D$10/1000</f>
        <v>58.5</v>
      </c>
      <c r="R10" s="98">
        <f>Услуги!R11*Дох!$D$10/1000</f>
        <v>62.99999999999999</v>
      </c>
      <c r="S10" s="98">
        <f>Услуги!S11*Дох!$D$10/1000</f>
        <v>67.5</v>
      </c>
      <c r="T10" s="98">
        <f>Услуги!T11*Дох!$D$10/1000</f>
        <v>72</v>
      </c>
      <c r="U10" s="98">
        <f>Услуги!U11*Дох!$D$10/1000</f>
        <v>72</v>
      </c>
      <c r="V10" s="98">
        <f>Услуги!V11*Дох!$D$10/1000</f>
        <v>45</v>
      </c>
      <c r="W10" s="98">
        <f>Услуги!W11*Дох!$D$10/1000</f>
        <v>45</v>
      </c>
      <c r="X10" s="98">
        <f>Услуги!X11*Дох!$D$10/1000</f>
        <v>45</v>
      </c>
      <c r="Y10" s="98">
        <f>Услуги!Y11*Дох!$D$10/1000</f>
        <v>72</v>
      </c>
      <c r="Z10" s="98">
        <f>Услуги!Z11*Дох!$D$10/1000</f>
        <v>81</v>
      </c>
      <c r="AA10" s="98">
        <f>Услуги!AA11*Дох!$D$10/1000</f>
        <v>90</v>
      </c>
      <c r="AB10" s="98">
        <f>Услуги!AB11*Дох!$D$10/1000</f>
        <v>99.00000000000001</v>
      </c>
      <c r="AC10" s="96">
        <f>SUM(Q10:AB10)</f>
        <v>810</v>
      </c>
      <c r="AD10" s="98">
        <f>Услуги!AD11*Дох!$D$10/1000*12</f>
        <v>918</v>
      </c>
      <c r="AE10" s="98">
        <f>Услуги!AE11*Дох!$D$10/1000*12</f>
        <v>1026</v>
      </c>
      <c r="AF10" s="98">
        <f>Услуги!AF11*Дох!$D$10/1000*12</f>
        <v>1080</v>
      </c>
      <c r="AG10" s="98">
        <f>Услуги!AG11*Дох!$D$10/1000*12</f>
        <v>1134</v>
      </c>
      <c r="AH10" s="98">
        <f>Услуги!AH11*Дох!$D$10/1000*12</f>
        <v>1188.0000000000002</v>
      </c>
      <c r="AI10" s="98">
        <f>Услуги!AI11*Дох!$D$10/1000*12</f>
        <v>1241.9999999999998</v>
      </c>
      <c r="AJ10" s="98">
        <f>Услуги!AJ11*Дох!$D$10/1000*12</f>
        <v>1296</v>
      </c>
    </row>
    <row r="11" spans="1:36" ht="15" customHeight="1">
      <c r="A11" s="94" t="s">
        <v>336</v>
      </c>
      <c r="B11" s="95">
        <f>SUM(B12:B14)</f>
        <v>33758.700000000004</v>
      </c>
      <c r="C11" s="96"/>
      <c r="D11" s="96">
        <f aca="true" t="shared" si="4" ref="D11:AJ11">SUM(D12:D14)</f>
        <v>0</v>
      </c>
      <c r="E11" s="96">
        <f t="shared" si="4"/>
        <v>0</v>
      </c>
      <c r="F11" s="96">
        <f t="shared" si="4"/>
        <v>0</v>
      </c>
      <c r="G11" s="96">
        <f t="shared" si="4"/>
        <v>0</v>
      </c>
      <c r="H11" s="96">
        <f t="shared" si="4"/>
        <v>0</v>
      </c>
      <c r="I11" s="96">
        <f t="shared" si="4"/>
        <v>0</v>
      </c>
      <c r="J11" s="96">
        <f t="shared" si="4"/>
        <v>0</v>
      </c>
      <c r="K11" s="96">
        <f t="shared" si="4"/>
        <v>0</v>
      </c>
      <c r="L11" s="96">
        <f t="shared" si="4"/>
        <v>0</v>
      </c>
      <c r="M11" s="96">
        <f t="shared" si="4"/>
        <v>0</v>
      </c>
      <c r="N11" s="96">
        <f t="shared" si="4"/>
        <v>289.5</v>
      </c>
      <c r="O11" s="96">
        <f t="shared" si="4"/>
        <v>354.59999999999997</v>
      </c>
      <c r="P11" s="96">
        <f t="shared" si="4"/>
        <v>644.1</v>
      </c>
      <c r="Q11" s="96">
        <f t="shared" si="4"/>
        <v>405.15000000000003</v>
      </c>
      <c r="R11" s="96">
        <f t="shared" si="4"/>
        <v>419.7</v>
      </c>
      <c r="S11" s="96">
        <f t="shared" si="4"/>
        <v>434.25</v>
      </c>
      <c r="T11" s="96">
        <f t="shared" si="4"/>
        <v>484.80000000000007</v>
      </c>
      <c r="U11" s="96">
        <f t="shared" si="4"/>
        <v>484.80000000000007</v>
      </c>
      <c r="V11" s="96">
        <f t="shared" si="4"/>
        <v>289.5</v>
      </c>
      <c r="W11" s="96">
        <f t="shared" si="4"/>
        <v>289.5</v>
      </c>
      <c r="X11" s="96">
        <f t="shared" si="4"/>
        <v>289.5</v>
      </c>
      <c r="Y11" s="96">
        <f t="shared" si="4"/>
        <v>484.80000000000007</v>
      </c>
      <c r="Z11" s="96">
        <f t="shared" si="4"/>
        <v>549.9</v>
      </c>
      <c r="AA11" s="96">
        <f t="shared" si="4"/>
        <v>615</v>
      </c>
      <c r="AB11" s="96">
        <f t="shared" si="4"/>
        <v>644.1000000000001</v>
      </c>
      <c r="AC11" s="96">
        <f t="shared" si="4"/>
        <v>5391</v>
      </c>
      <c r="AD11" s="96">
        <f t="shared" si="4"/>
        <v>3220.2000000000003</v>
      </c>
      <c r="AE11" s="96">
        <f t="shared" si="4"/>
        <v>3605.3999999999996</v>
      </c>
      <c r="AF11" s="96">
        <f t="shared" si="4"/>
        <v>3816</v>
      </c>
      <c r="AG11" s="96">
        <f t="shared" si="4"/>
        <v>3990.6000000000004</v>
      </c>
      <c r="AH11" s="96">
        <f t="shared" si="4"/>
        <v>4165.2</v>
      </c>
      <c r="AI11" s="96">
        <f t="shared" si="4"/>
        <v>4375.799999999999</v>
      </c>
      <c r="AJ11" s="96">
        <f t="shared" si="4"/>
        <v>4550.400000000001</v>
      </c>
    </row>
    <row r="12" spans="1:36" ht="12.75">
      <c r="A12" s="97" t="s">
        <v>202</v>
      </c>
      <c r="B12" s="95">
        <f>P12+AC12+AD12+AE12+AF12+AG12+AH12+AI12+AJ12</f>
        <v>31120.800000000003</v>
      </c>
      <c r="C12" s="96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>
        <f>Услуги!N7*'Расх перем'!$D$5+'2-ф2'!N7*'Расх перем'!$D$6+'2-ф2'!N8*'Расх перем'!$D$7</f>
        <v>276</v>
      </c>
      <c r="O12" s="98">
        <f>Услуги!O7*'Расх перем'!$D$5+'2-ф2'!O7*'Расх перем'!$D$6+'2-ф2'!O8*'Расх перем'!$D$7</f>
        <v>338.4</v>
      </c>
      <c r="P12" s="96">
        <f>SUM(D12:O12)</f>
        <v>614.4</v>
      </c>
      <c r="Q12" s="98">
        <f>Услуги!Q7*'Расх перем'!$D$5+'2-ф2'!Q7*'Расх перем'!$D$6+'2-ф2'!Q8*'Расх перем'!$D$7</f>
        <v>387.6</v>
      </c>
      <c r="R12" s="98">
        <f>Услуги!R7*'Расх перем'!$D$5+'2-ф2'!R7*'Расх перем'!$D$6+'2-ф2'!R8*'Расх перем'!$D$7</f>
        <v>400.8</v>
      </c>
      <c r="S12" s="98">
        <f>Услуги!S7*'Расх перем'!$D$5+'2-ф2'!S7*'Расх перем'!$D$6+'2-ф2'!S8*'Расх перем'!$D$7</f>
        <v>414</v>
      </c>
      <c r="T12" s="98">
        <f>Услуги!T7*'Расх перем'!$D$5+'2-ф2'!T7*'Расх перем'!$D$6+'2-ф2'!T8*'Расх перем'!$D$7</f>
        <v>463.20000000000005</v>
      </c>
      <c r="U12" s="98">
        <f>Услуги!U7*'Расх перем'!$D$5+'2-ф2'!U7*'Расх перем'!$D$6+'2-ф2'!U8*'Расх перем'!$D$7</f>
        <v>463.20000000000005</v>
      </c>
      <c r="V12" s="98">
        <f>Услуги!V7*'Расх перем'!$D$5+'2-ф2'!V7*'Расх перем'!$D$6+'2-ф2'!V8*'Расх перем'!$D$7</f>
        <v>276</v>
      </c>
      <c r="W12" s="98">
        <f>Услуги!W7*'Расх перем'!$D$5+'2-ф2'!W7*'Расх перем'!$D$6+'2-ф2'!W8*'Расх перем'!$D$7</f>
        <v>276</v>
      </c>
      <c r="X12" s="98">
        <f>Услуги!X7*'Расх перем'!$D$5+'2-ф2'!X7*'Расх перем'!$D$6+'2-ф2'!X8*'Расх перем'!$D$7</f>
        <v>276</v>
      </c>
      <c r="Y12" s="98">
        <f>Услуги!Y7*'Расх перем'!$D$5+'2-ф2'!Y7*'Расх перем'!$D$6+'2-ф2'!Y8*'Расх перем'!$D$7</f>
        <v>463.20000000000005</v>
      </c>
      <c r="Z12" s="98">
        <f>Услуги!Z7*'Расх перем'!$D$5+'2-ф2'!Z7*'Расх перем'!$D$6+'2-ф2'!Z8*'Расх перем'!$D$7</f>
        <v>525.6</v>
      </c>
      <c r="AA12" s="98">
        <f>Услуги!AA7*'Расх перем'!$D$5+'2-ф2'!AA7*'Расх перем'!$D$6+'2-ф2'!AA8*'Расх перем'!$D$7</f>
        <v>588</v>
      </c>
      <c r="AB12" s="98">
        <f>Услуги!AB7*'Расх перем'!$D$5+'2-ф2'!AB7*'Расх перем'!$D$6+'2-ф2'!AB8*'Расх перем'!$D$7</f>
        <v>614.4000000000001</v>
      </c>
      <c r="AC12" s="96">
        <f>SUM(Q12:AB12)</f>
        <v>5148</v>
      </c>
      <c r="AD12" s="98">
        <f>Услуги!AD7*'Расх перем'!$D$5+'2-ф2'!AD7*'Расх перем'!$D$6+'2-ф2'!AD8*'Расх перем'!$D$7</f>
        <v>2944.8</v>
      </c>
      <c r="AE12" s="98">
        <f>Услуги!AE7*'Расх перем'!$D$5+'2-ф2'!AE7*'Расх перем'!$D$6+'2-ф2'!AE8*'Расх перем'!$D$7</f>
        <v>3297.5999999999995</v>
      </c>
      <c r="AF12" s="98">
        <f>Услуги!AF7*'Расх перем'!$D$5+'2-ф2'!AF7*'Расх перем'!$D$6+'2-ф2'!AF8*'Расх перем'!$D$7</f>
        <v>3492</v>
      </c>
      <c r="AG12" s="98">
        <f>Услуги!AG7*'Расх перем'!$D$5+'2-ф2'!AG7*'Расх перем'!$D$6+'2-ф2'!AG8*'Расх перем'!$D$7</f>
        <v>3650.4000000000005</v>
      </c>
      <c r="AH12" s="98">
        <f>Услуги!AH7*'Расх перем'!$D$5+'2-ф2'!AH7*'Расх перем'!$D$6+'2-ф2'!AH8*'Расх перем'!$D$7</f>
        <v>3808.8</v>
      </c>
      <c r="AI12" s="98">
        <f>Услуги!AI7*'Расх перем'!$D$5+'2-ф2'!AI7*'Расх перем'!$D$6+'2-ф2'!AI8*'Расх перем'!$D$7</f>
        <v>4003.2</v>
      </c>
      <c r="AJ12" s="98">
        <f>Услуги!AJ7*'Расх перем'!$D$5+'2-ф2'!AJ7*'Расх перем'!$D$6+'2-ф2'!AJ8*'Расх перем'!$D$7</f>
        <v>4161.6</v>
      </c>
    </row>
    <row r="13" spans="1:36" ht="12.75">
      <c r="A13" s="97" t="s">
        <v>219</v>
      </c>
      <c r="B13" s="95">
        <f>P13+AC13+AD13+AE13+AF13+AG13+AH13+AI13+AJ13</f>
        <v>2637.9</v>
      </c>
      <c r="C13" s="96"/>
      <c r="D13" s="98">
        <f>'2-ф2'!D6*'Расх перем'!$D$5</f>
        <v>0</v>
      </c>
      <c r="E13" s="98">
        <f>'2-ф2'!E6*'Расх перем'!$D$5</f>
        <v>0</v>
      </c>
      <c r="F13" s="98"/>
      <c r="G13" s="98"/>
      <c r="H13" s="98"/>
      <c r="I13" s="98"/>
      <c r="J13" s="98"/>
      <c r="K13" s="98"/>
      <c r="L13" s="98"/>
      <c r="M13" s="98"/>
      <c r="N13" s="98">
        <f>N10*'Расх перем'!$D$9</f>
        <v>13.5</v>
      </c>
      <c r="O13" s="98">
        <f>O10*'Расх перем'!$D$9</f>
        <v>16.2</v>
      </c>
      <c r="P13" s="96">
        <f>SUM(D13:O13)</f>
        <v>29.7</v>
      </c>
      <c r="Q13" s="98">
        <f>Q10*'Расх перем'!$D$9</f>
        <v>17.55</v>
      </c>
      <c r="R13" s="98">
        <f>R10*'Расх перем'!$D$9</f>
        <v>18.9</v>
      </c>
      <c r="S13" s="98">
        <f>S10*'Расх перем'!$D$9</f>
        <v>20.25</v>
      </c>
      <c r="T13" s="98">
        <f>T10*'Расх перем'!$D$9</f>
        <v>21.599999999999998</v>
      </c>
      <c r="U13" s="98">
        <f>U10*'Расх перем'!$D$9</f>
        <v>21.599999999999998</v>
      </c>
      <c r="V13" s="98">
        <f>V10*'Расх перем'!$D$9</f>
        <v>13.5</v>
      </c>
      <c r="W13" s="98">
        <f>W10*'Расх перем'!$D$9</f>
        <v>13.5</v>
      </c>
      <c r="X13" s="98">
        <f>X10*'Расх перем'!$D$9</f>
        <v>13.5</v>
      </c>
      <c r="Y13" s="98">
        <f>Y10*'Расх перем'!$D$9</f>
        <v>21.599999999999998</v>
      </c>
      <c r="Z13" s="98">
        <f>Z10*'Расх перем'!$D$9</f>
        <v>24.3</v>
      </c>
      <c r="AA13" s="98">
        <f>AA10*'Расх перем'!$D$9</f>
        <v>27</v>
      </c>
      <c r="AB13" s="98">
        <f>AB10*'Расх перем'!$D$9</f>
        <v>29.700000000000003</v>
      </c>
      <c r="AC13" s="96">
        <f>SUM(Q13:AB13)</f>
        <v>243</v>
      </c>
      <c r="AD13" s="98">
        <f>AD10*'Расх перем'!$D$9</f>
        <v>275.4</v>
      </c>
      <c r="AE13" s="98">
        <f>AE10*'Расх перем'!$D$9</f>
        <v>307.8</v>
      </c>
      <c r="AF13" s="98">
        <f>AF10*'Расх перем'!$D$9</f>
        <v>324</v>
      </c>
      <c r="AG13" s="98">
        <f>AG10*'Расх перем'!$D$9</f>
        <v>340.2</v>
      </c>
      <c r="AH13" s="98">
        <f>AH10*'Расх перем'!$D$9</f>
        <v>356.40000000000003</v>
      </c>
      <c r="AI13" s="98">
        <f>AI10*'Расх перем'!$D$9</f>
        <v>372.5999999999999</v>
      </c>
      <c r="AJ13" s="98">
        <f>AJ10*'Расх перем'!$D$9</f>
        <v>388.8</v>
      </c>
    </row>
    <row r="14" spans="1:36" ht="12.75">
      <c r="A14" s="97"/>
      <c r="B14" s="95"/>
      <c r="C14" s="96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6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6"/>
      <c r="AD14" s="98"/>
      <c r="AE14" s="98"/>
      <c r="AF14" s="98"/>
      <c r="AG14" s="98"/>
      <c r="AH14" s="98"/>
      <c r="AI14" s="98"/>
      <c r="AJ14" s="98"/>
    </row>
    <row r="15" spans="1:36" s="88" customFormat="1" ht="15" customHeight="1">
      <c r="A15" s="94" t="s">
        <v>14</v>
      </c>
      <c r="B15" s="95">
        <f>B5-B11</f>
        <v>153825.3</v>
      </c>
      <c r="C15" s="99"/>
      <c r="D15" s="96">
        <f aca="true" t="shared" si="5" ref="D15:AJ15">D5-D11</f>
        <v>0</v>
      </c>
      <c r="E15" s="96">
        <f t="shared" si="5"/>
        <v>0</v>
      </c>
      <c r="F15" s="96">
        <f t="shared" si="5"/>
        <v>0</v>
      </c>
      <c r="G15" s="96">
        <f t="shared" si="5"/>
        <v>0</v>
      </c>
      <c r="H15" s="96">
        <f t="shared" si="5"/>
        <v>0</v>
      </c>
      <c r="I15" s="96">
        <f t="shared" si="5"/>
        <v>0</v>
      </c>
      <c r="J15" s="96">
        <f t="shared" si="5"/>
        <v>0</v>
      </c>
      <c r="K15" s="96">
        <f t="shared" si="5"/>
        <v>0</v>
      </c>
      <c r="L15" s="96">
        <f t="shared" si="5"/>
        <v>0</v>
      </c>
      <c r="M15" s="96">
        <f t="shared" si="5"/>
        <v>0</v>
      </c>
      <c r="N15" s="96">
        <f t="shared" si="5"/>
        <v>670.5</v>
      </c>
      <c r="O15" s="96">
        <f t="shared" si="5"/>
        <v>797.4000000000001</v>
      </c>
      <c r="P15" s="96">
        <f t="shared" si="5"/>
        <v>1467.9</v>
      </c>
      <c r="Q15" s="96">
        <f t="shared" si="5"/>
        <v>842.8499999999999</v>
      </c>
      <c r="R15" s="96">
        <f t="shared" si="5"/>
        <v>924.3</v>
      </c>
      <c r="S15" s="96">
        <f t="shared" si="5"/>
        <v>1005.75</v>
      </c>
      <c r="T15" s="96">
        <f t="shared" si="5"/>
        <v>1051.1999999999998</v>
      </c>
      <c r="U15" s="96">
        <f t="shared" si="5"/>
        <v>1051.1999999999998</v>
      </c>
      <c r="V15" s="96">
        <f t="shared" si="5"/>
        <v>670.5</v>
      </c>
      <c r="W15" s="96">
        <f t="shared" si="5"/>
        <v>670.5</v>
      </c>
      <c r="X15" s="96">
        <f t="shared" si="5"/>
        <v>670.5</v>
      </c>
      <c r="Y15" s="96">
        <f t="shared" si="5"/>
        <v>1051.1999999999998</v>
      </c>
      <c r="Z15" s="96">
        <f t="shared" si="5"/>
        <v>1178.1</v>
      </c>
      <c r="AA15" s="96">
        <f t="shared" si="5"/>
        <v>1305</v>
      </c>
      <c r="AB15" s="96">
        <f t="shared" si="5"/>
        <v>1467.8999999999999</v>
      </c>
      <c r="AC15" s="96">
        <f t="shared" si="5"/>
        <v>11889</v>
      </c>
      <c r="AD15" s="96">
        <f t="shared" si="5"/>
        <v>16363.8</v>
      </c>
      <c r="AE15" s="96">
        <f t="shared" si="5"/>
        <v>18282.6</v>
      </c>
      <c r="AF15" s="96">
        <f t="shared" si="5"/>
        <v>19224</v>
      </c>
      <c r="AG15" s="96">
        <f t="shared" si="5"/>
        <v>20201.4</v>
      </c>
      <c r="AH15" s="96">
        <f t="shared" si="5"/>
        <v>21178.8</v>
      </c>
      <c r="AI15" s="96">
        <f t="shared" si="5"/>
        <v>22120.2</v>
      </c>
      <c r="AJ15" s="96">
        <f t="shared" si="5"/>
        <v>23097.6</v>
      </c>
    </row>
    <row r="16" spans="1:36" ht="15" customHeight="1">
      <c r="A16" s="100" t="s">
        <v>133</v>
      </c>
      <c r="B16" s="95">
        <f>P16+AC16+AD16+AE16+AF16+AG16+AH16+AI16+AJ16</f>
        <v>124446.18932329582</v>
      </c>
      <c r="C16" s="96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>
        <f>Пост!$C$16+Пост!$C$18+Пост!$C$21</f>
        <v>515.0226</v>
      </c>
      <c r="O16" s="98">
        <f>Пост!$C$16+Пост!$C$18+Пост!$C$21</f>
        <v>515.0226</v>
      </c>
      <c r="P16" s="96">
        <f aca="true" t="shared" si="6" ref="P16:P21">SUM(D16:O16)</f>
        <v>1030.0452</v>
      </c>
      <c r="Q16" s="306">
        <f>Пост!$D$16+Пост!$D$18+Пост!$D$21-Пост!D7</f>
        <v>541.2737299999999</v>
      </c>
      <c r="R16" s="98">
        <f>Пост!$D$16+Пост!$D$18+Пост!$D$21</f>
        <v>1081.27373</v>
      </c>
      <c r="S16" s="98">
        <f>Пост!$D$16+Пост!$D$18+Пост!$D$21</f>
        <v>1081.27373</v>
      </c>
      <c r="T16" s="98">
        <f>Пост!$D$16+Пост!$D$18+Пост!$D$21</f>
        <v>1081.27373</v>
      </c>
      <c r="U16" s="98">
        <f>Пост!$D$16+Пост!$D$18+Пост!$D$21</f>
        <v>1081.27373</v>
      </c>
      <c r="V16" s="98">
        <f>Пост!$D$16+Пост!$D$18+Пост!$D$21</f>
        <v>1081.27373</v>
      </c>
      <c r="W16" s="98">
        <f>Пост!$D$16+Пост!$D$18+Пост!$D$21</f>
        <v>1081.27373</v>
      </c>
      <c r="X16" s="98">
        <f>Пост!$D$16+Пост!$D$18+Пост!$D$21</f>
        <v>1081.27373</v>
      </c>
      <c r="Y16" s="98">
        <f>Пост!$D$16+Пост!$D$18+Пост!$D$21</f>
        <v>1081.27373</v>
      </c>
      <c r="Z16" s="98">
        <f>Пост!$D$16+Пост!$D$18+Пост!$D$21</f>
        <v>1081.27373</v>
      </c>
      <c r="AA16" s="98">
        <f>Пост!$D$16+Пост!$D$18+Пост!$D$21</f>
        <v>1081.27373</v>
      </c>
      <c r="AB16" s="98">
        <f>Пост!$D$16+Пост!$D$18+Пост!$D$21</f>
        <v>1081.27373</v>
      </c>
      <c r="AC16" s="96">
        <f aca="true" t="shared" si="7" ref="AC16:AC21">SUM(Q16:AB16)</f>
        <v>12435.284760000002</v>
      </c>
      <c r="AD16" s="98">
        <f>(Пост!E16+Пост!E18+Пост!E21)*12</f>
        <v>13630.648997999997</v>
      </c>
      <c r="AE16" s="98">
        <f>(Пост!F16+Пост!F18+Пост!F21)*12</f>
        <v>14312.181447900002</v>
      </c>
      <c r="AF16" s="98">
        <f>(Пост!G16+Пост!G18+Пост!G21)*12</f>
        <v>15027.790520294999</v>
      </c>
      <c r="AG16" s="98">
        <f>(Пост!H16+Пост!H18+Пост!H21)*12</f>
        <v>15779.180046309753</v>
      </c>
      <c r="AH16" s="98">
        <f>(Пост!I16+Пост!I18+Пост!I21)*12</f>
        <v>16568.13904862524</v>
      </c>
      <c r="AI16" s="98">
        <f>(Пост!J16+Пост!J18+Пост!J21)*12</f>
        <v>17396.546001056504</v>
      </c>
      <c r="AJ16" s="98">
        <f>(Пост!K16+Пост!K18+Пост!K21)*12</f>
        <v>18266.373301109328</v>
      </c>
    </row>
    <row r="17" spans="1:36" ht="15" customHeight="1">
      <c r="A17" s="100" t="s">
        <v>69</v>
      </c>
      <c r="B17" s="95">
        <f>P17+AC17+AD17+AE17+AF17+AG17+AH17+AI17+AJ17</f>
        <v>7289.770833333333</v>
      </c>
      <c r="C17" s="96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>
        <f>Пост!$C$31/2</f>
        <v>74.38541666666666</v>
      </c>
      <c r="O17" s="98">
        <f>Пост!$C$31/2</f>
        <v>74.38541666666666</v>
      </c>
      <c r="P17" s="96">
        <f t="shared" si="6"/>
        <v>148.77083333333331</v>
      </c>
      <c r="Q17" s="98">
        <f>Пост!$D$31/12</f>
        <v>74.38541666666667</v>
      </c>
      <c r="R17" s="98">
        <f>Пост!$D$31/12</f>
        <v>74.38541666666667</v>
      </c>
      <c r="S17" s="98">
        <f>Пост!$D$31/12</f>
        <v>74.38541666666667</v>
      </c>
      <c r="T17" s="98">
        <f>Пост!$D$31/12</f>
        <v>74.38541666666667</v>
      </c>
      <c r="U17" s="98">
        <f>Пост!$D$31/12</f>
        <v>74.38541666666667</v>
      </c>
      <c r="V17" s="98">
        <f>Пост!$D$31/12</f>
        <v>74.38541666666667</v>
      </c>
      <c r="W17" s="98">
        <f>Пост!$D$31/12</f>
        <v>74.38541666666667</v>
      </c>
      <c r="X17" s="98">
        <f>Пост!$D$31/12</f>
        <v>74.38541666666667</v>
      </c>
      <c r="Y17" s="98">
        <f>Пост!$D$31/12</f>
        <v>74.38541666666667</v>
      </c>
      <c r="Z17" s="98">
        <f>Пост!$D$31/12</f>
        <v>74.38541666666667</v>
      </c>
      <c r="AA17" s="98">
        <f>Пост!$D$31/12</f>
        <v>74.38541666666667</v>
      </c>
      <c r="AB17" s="98">
        <f>Пост!$D$31/12</f>
        <v>74.38541666666667</v>
      </c>
      <c r="AC17" s="96">
        <f t="shared" si="7"/>
        <v>892.6249999999999</v>
      </c>
      <c r="AD17" s="98">
        <f>Пост!E31</f>
        <v>892.625</v>
      </c>
      <c r="AE17" s="98">
        <f>Пост!F31</f>
        <v>892.625</v>
      </c>
      <c r="AF17" s="98">
        <f>Пост!G31</f>
        <v>892.625</v>
      </c>
      <c r="AG17" s="98">
        <f>Пост!H31</f>
        <v>892.625</v>
      </c>
      <c r="AH17" s="98">
        <f>Пост!I31</f>
        <v>892.625</v>
      </c>
      <c r="AI17" s="98">
        <f>Пост!J31</f>
        <v>892.625</v>
      </c>
      <c r="AJ17" s="98">
        <f>Пост!K31</f>
        <v>892.625</v>
      </c>
    </row>
    <row r="18" spans="1:36" ht="15" customHeight="1">
      <c r="A18" s="100" t="s">
        <v>23</v>
      </c>
      <c r="B18" s="95">
        <f>P18+AC18+AD18+AE18+AF18+AG18+AH18+AI18+AJ18</f>
        <v>2256.3096576266444</v>
      </c>
      <c r="C18" s="96"/>
      <c r="D18" s="98">
        <f>кр!C9</f>
        <v>0</v>
      </c>
      <c r="E18" s="98">
        <f>кр!D9</f>
        <v>0</v>
      </c>
      <c r="F18" s="98">
        <f>кр!E9</f>
        <v>0</v>
      </c>
      <c r="G18" s="98">
        <f>кр!F9</f>
        <v>0</v>
      </c>
      <c r="H18" s="98">
        <f>кр!G9</f>
        <v>0</v>
      </c>
      <c r="I18" s="98">
        <f>кр!H9</f>
        <v>0</v>
      </c>
      <c r="J18" s="98">
        <f>кр!I9</f>
        <v>0</v>
      </c>
      <c r="K18" s="98">
        <f>кр!J9</f>
        <v>0</v>
      </c>
      <c r="L18" s="98">
        <f>кр!K9</f>
        <v>7.809375</v>
      </c>
      <c r="M18" s="98">
        <f>кр!L9</f>
        <v>22.200937500000002</v>
      </c>
      <c r="N18" s="98">
        <f>кр!M9</f>
        <v>42.91189583333333</v>
      </c>
      <c r="O18" s="98">
        <f>кр!N9</f>
        <v>42.91189583333333</v>
      </c>
      <c r="P18" s="96">
        <f t="shared" si="6"/>
        <v>115.83410416666666</v>
      </c>
      <c r="Q18" s="98">
        <f>кр!P9</f>
        <v>42.91189583333333</v>
      </c>
      <c r="R18" s="98">
        <f>кр!Q9</f>
        <v>42.91189583333333</v>
      </c>
      <c r="S18" s="98">
        <f>кр!R9</f>
        <v>43.18522395833334</v>
      </c>
      <c r="T18" s="98">
        <f>кр!S9</f>
        <v>43.688928645833336</v>
      </c>
      <c r="U18" s="98">
        <f>кр!T9</f>
        <v>44.4138121875</v>
      </c>
      <c r="V18" s="98">
        <f>кр!U9</f>
        <v>44.4138121875</v>
      </c>
      <c r="W18" s="98">
        <f>кр!V9</f>
        <v>44.4138121875</v>
      </c>
      <c r="X18" s="98">
        <f>кр!W9</f>
        <v>44.4138121875</v>
      </c>
      <c r="Y18" s="98">
        <f>кр!X9</f>
        <v>44.4138121875</v>
      </c>
      <c r="Z18" s="98">
        <f>кр!Y9</f>
        <v>44.32315923117336</v>
      </c>
      <c r="AA18" s="98">
        <f>кр!Z9</f>
        <v>44.06491701784717</v>
      </c>
      <c r="AB18" s="98">
        <f>кр!AA9</f>
        <v>43.56475099568842</v>
      </c>
      <c r="AC18" s="96">
        <f t="shared" si="7"/>
        <v>526.7198324530423</v>
      </c>
      <c r="AD18" s="98">
        <f>кр!AO9</f>
        <v>482.68480596439235</v>
      </c>
      <c r="AE18" s="98">
        <f>кр!BB9</f>
        <v>404.97245158292264</v>
      </c>
      <c r="AF18" s="98">
        <f>кр!BO9</f>
        <v>321.642264819688</v>
      </c>
      <c r="AG18" s="98">
        <f>кр!CB9</f>
        <v>232.288132117574</v>
      </c>
      <c r="AH18" s="98">
        <f>кр!CO9</f>
        <v>136.4745819375852</v>
      </c>
      <c r="AI18" s="98">
        <f>кр!DB9</f>
        <v>35.69348458477095</v>
      </c>
      <c r="AJ18" s="98">
        <f>кр!DO9</f>
        <v>2.3153035044742866E-12</v>
      </c>
    </row>
    <row r="19" spans="1:36" ht="15" customHeight="1">
      <c r="A19" s="100" t="s">
        <v>179</v>
      </c>
      <c r="B19" s="95">
        <f>B15-B16-B17-B18</f>
        <v>19833.03018574419</v>
      </c>
      <c r="C19" s="99"/>
      <c r="D19" s="98">
        <f>D15-D16-D18-D17</f>
        <v>0</v>
      </c>
      <c r="E19" s="98">
        <f aca="true" t="shared" si="8" ref="E19:O19">E15-E16-E18-E17</f>
        <v>0</v>
      </c>
      <c r="F19" s="98">
        <f t="shared" si="8"/>
        <v>0</v>
      </c>
      <c r="G19" s="98">
        <f t="shared" si="8"/>
        <v>0</v>
      </c>
      <c r="H19" s="98">
        <f t="shared" si="8"/>
        <v>0</v>
      </c>
      <c r="I19" s="98">
        <f t="shared" si="8"/>
        <v>0</v>
      </c>
      <c r="J19" s="98">
        <f t="shared" si="8"/>
        <v>0</v>
      </c>
      <c r="K19" s="98">
        <f t="shared" si="8"/>
        <v>0</v>
      </c>
      <c r="L19" s="98">
        <f t="shared" si="8"/>
        <v>-7.809375</v>
      </c>
      <c r="M19" s="98">
        <f t="shared" si="8"/>
        <v>-22.200937500000002</v>
      </c>
      <c r="N19" s="98">
        <f t="shared" si="8"/>
        <v>38.1800875</v>
      </c>
      <c r="O19" s="98">
        <f t="shared" si="8"/>
        <v>165.08008750000008</v>
      </c>
      <c r="P19" s="96">
        <f t="shared" si="6"/>
        <v>173.24986250000006</v>
      </c>
      <c r="Q19" s="98">
        <f aca="true" t="shared" si="9" ref="Q19:AB19">Q15-Q16-Q18-Q17</f>
        <v>184.2789575</v>
      </c>
      <c r="R19" s="98">
        <f t="shared" si="9"/>
        <v>-274.27104249999996</v>
      </c>
      <c r="S19" s="98">
        <f t="shared" si="9"/>
        <v>-193.0943706249999</v>
      </c>
      <c r="T19" s="98">
        <f t="shared" si="9"/>
        <v>-148.14807531250005</v>
      </c>
      <c r="U19" s="98">
        <f t="shared" si="9"/>
        <v>-148.87295885416674</v>
      </c>
      <c r="V19" s="98">
        <f t="shared" si="9"/>
        <v>-529.5729588541666</v>
      </c>
      <c r="W19" s="98">
        <f t="shared" si="9"/>
        <v>-529.5729588541666</v>
      </c>
      <c r="X19" s="98">
        <f t="shared" si="9"/>
        <v>-529.5729588541666</v>
      </c>
      <c r="Y19" s="98">
        <f t="shared" si="9"/>
        <v>-148.87295885416674</v>
      </c>
      <c r="Z19" s="98">
        <f t="shared" si="9"/>
        <v>-21.882305897840013</v>
      </c>
      <c r="AA19" s="98">
        <f t="shared" si="9"/>
        <v>105.27593631548628</v>
      </c>
      <c r="AB19" s="98">
        <f t="shared" si="9"/>
        <v>268.67610233764486</v>
      </c>
      <c r="AC19" s="96">
        <f t="shared" si="7"/>
        <v>-1965.6295924530423</v>
      </c>
      <c r="AD19" s="98">
        <f aca="true" t="shared" si="10" ref="AD19:AI19">AD15-AD16-AD18-AD17</f>
        <v>1357.8411960356098</v>
      </c>
      <c r="AE19" s="98">
        <f t="shared" si="10"/>
        <v>2672.821100517074</v>
      </c>
      <c r="AF19" s="98">
        <f t="shared" si="10"/>
        <v>2981.942214885313</v>
      </c>
      <c r="AG19" s="98">
        <f t="shared" si="10"/>
        <v>3297.3068215726744</v>
      </c>
      <c r="AH19" s="98">
        <f t="shared" si="10"/>
        <v>3581.561369437176</v>
      </c>
      <c r="AI19" s="98">
        <f t="shared" si="10"/>
        <v>3795.335514358726</v>
      </c>
      <c r="AJ19" s="98">
        <f>AJ15-AJ16-AJ18-AJ17</f>
        <v>3938.6016988906676</v>
      </c>
    </row>
    <row r="20" spans="1:36" ht="15" customHeight="1">
      <c r="A20" s="100" t="s">
        <v>42</v>
      </c>
      <c r="B20" s="95">
        <f>P20+AC20+AD20+AE20+AF20+AG20+AH20+AI20+AJ20</f>
        <v>1990.79621854942</v>
      </c>
      <c r="C20" s="96"/>
      <c r="D20" s="98"/>
      <c r="E20" s="131">
        <f>IF(E19+D22&lt;0,0,IF(D22&lt;0,(D22+E19)*Исх!$C$22,E19*Исх!$C$22))</f>
        <v>0</v>
      </c>
      <c r="F20" s="131">
        <f>IF(F19+E22&lt;0,0,IF(E22&lt;0,(E22+F19)*Исх!$C$22,F19*Исх!$C$22))</f>
        <v>0</v>
      </c>
      <c r="G20" s="131">
        <f>IF(G19+F22&lt;0,0,IF(F22&lt;0,(F22+G19)*Исх!$C$22,G19*Исх!$C$22))</f>
        <v>0</v>
      </c>
      <c r="H20" s="131">
        <f>IF(H19+G22&lt;0,0,IF(G22&lt;0,(G22+H19)*Исх!$C$22,H19*Исх!$C$22))</f>
        <v>0</v>
      </c>
      <c r="I20" s="131">
        <f>IF(I19+H22&lt;0,0,IF(H22&lt;0,(H22+I19)*Исх!$C$22,I19*Исх!$C$22))</f>
        <v>0</v>
      </c>
      <c r="J20" s="131">
        <f>IF(J19+I22&lt;0,0,IF(I22&lt;0,(I22+J19)*Исх!$C$22,J19*Исх!$C$22))</f>
        <v>0</v>
      </c>
      <c r="K20" s="131">
        <f>IF(K19+J22&lt;0,0,IF(J22&lt;0,(J22+K19)*Исх!$C$22,K19*Исх!$C$22))</f>
        <v>0</v>
      </c>
      <c r="L20" s="131">
        <f>IF(L19+K22&lt;0,0,IF(K22&lt;0,(K22+L19)*Исх!$C$22,L19*Исх!$C$22))</f>
        <v>0</v>
      </c>
      <c r="M20" s="131">
        <f>IF(M19+L22&lt;0,0,IF(L22&lt;0,(L22+M19)*Исх!$C$22,M19*Исх!$C$22))</f>
        <v>0</v>
      </c>
      <c r="N20" s="131">
        <f>IF(N19+M22&lt;0,0,IF(M22&lt;0,(M22+N19)*Исх!$C$22,N19*Исх!$C$22))</f>
        <v>0.8169774999999998</v>
      </c>
      <c r="O20" s="131">
        <f>IF(O19+N22&lt;0,0,IF(N22&lt;0,(N22+O19)*Исх!$C$22,O19*Исх!$C$22))</f>
        <v>16.50800875000001</v>
      </c>
      <c r="P20" s="96">
        <f t="shared" si="6"/>
        <v>17.32498625000001</v>
      </c>
      <c r="Q20" s="131">
        <f>IF(Q19+P22&lt;0,0,IF(P22&lt;0,(P22+Q19)*Исх!$C$22,Q19*Исх!$C$22))</f>
        <v>18.42789575</v>
      </c>
      <c r="R20" s="131">
        <f>IF(R19+Q22&lt;0,0,IF(Q22&lt;0,(Q22+R19)*Исх!$C$22,R19*Исх!$C$22))</f>
        <v>-27.42710425</v>
      </c>
      <c r="S20" s="131">
        <f>IF(S19+R22&lt;0,0,IF(R22&lt;0,(R22+S19)*Исх!$C$22,S19*Исх!$C$22))</f>
        <v>0</v>
      </c>
      <c r="T20" s="131">
        <f>IF(T19+S22&lt;0,0,IF(S22&lt;0,(S22+T19)*Исх!$C$22,T19*Исх!$C$22))</f>
        <v>0</v>
      </c>
      <c r="U20" s="131">
        <f>IF(U19+T22&lt;0,0,IF(T22&lt;0,(T22+U19)*Исх!$C$22,U19*Исх!$C$22))</f>
        <v>0</v>
      </c>
      <c r="V20" s="131">
        <f>IF(V19+U22&lt;0,0,IF(U22&lt;0,(U22+V19)*Исх!$C$22,V19*Исх!$C$22))</f>
        <v>0</v>
      </c>
      <c r="W20" s="131">
        <f>IF(W19+V22&lt;0,0,IF(V22&lt;0,(V22+W19)*Исх!$C$22,W19*Исх!$C$22))</f>
        <v>0</v>
      </c>
      <c r="X20" s="131">
        <f>IF(X19+W22&lt;0,0,IF(W22&lt;0,(W22+X19)*Исх!$C$22,X19*Исх!$C$22))</f>
        <v>0</v>
      </c>
      <c r="Y20" s="131">
        <f>IF(Y19+X22&lt;0,0,IF(X22&lt;0,(X22+Y19)*Исх!$C$22,Y19*Исх!$C$22))</f>
        <v>0</v>
      </c>
      <c r="Z20" s="131">
        <f>IF(Z19+Y22&lt;0,0,IF(Y22&lt;0,(Y22+Z19)*Исх!$C$22,Z19*Исх!$C$22))</f>
        <v>0</v>
      </c>
      <c r="AA20" s="131">
        <f>IF(AA19+Z22&lt;0,0,IF(Z22&lt;0,(Z22+AA19)*Исх!$C$22,AA19*Исх!$C$22))</f>
        <v>0</v>
      </c>
      <c r="AB20" s="131">
        <f>IF(AB19+AA22&lt;0,0,IF(AA22&lt;0,(AA22+AB19)*Исх!$C$22,AB19*Исх!$C$22))</f>
        <v>0</v>
      </c>
      <c r="AC20" s="96">
        <f t="shared" si="7"/>
        <v>-8.999208499999998</v>
      </c>
      <c r="AD20" s="131">
        <f>IF(AD19+AC22&lt;0,0,IF(AC22&lt;0,(AC22+AD19)*Исх!$C$22,AD19*Исх!$C$22))</f>
        <v>0</v>
      </c>
      <c r="AE20" s="131">
        <f>IF(AE19+AD22&lt;0,0,IF(AD22&lt;0,(AD22+AE19)*Исх!$C$22,AE19*Исх!$C$22))</f>
        <v>222.99567888496415</v>
      </c>
      <c r="AF20" s="131">
        <f>IF(AF19+AE22&lt;0,0,IF(AE22&lt;0,(AE22+AF19)*Исх!$C$22,AF19*Исх!$C$22))</f>
        <v>298.19422148853135</v>
      </c>
      <c r="AG20" s="131">
        <f>IF(AG19+AF22&lt;0,0,IF(AF22&lt;0,(AF22+AG19)*Исх!$C$22,AG19*Исх!$C$22))</f>
        <v>329.73068215726744</v>
      </c>
      <c r="AH20" s="131">
        <f>IF(AH19+AG22&lt;0,0,IF(AG22&lt;0,(AG22+AH19)*Исх!$C$22,AH19*Исх!$C$22))</f>
        <v>358.1561369437176</v>
      </c>
      <c r="AI20" s="131">
        <f>IF(AI19+AH22&lt;0,0,IF(AH22&lt;0,(AH22+AI19)*Исх!$C$22,AI19*Исх!$C$22))</f>
        <v>379.5335514358726</v>
      </c>
      <c r="AJ20" s="131">
        <f>IF(AJ19+AI22&lt;0,0,IF(AI22&lt;0,(AI22+AJ19)*Исх!$C$22,AJ19*Исх!$C$22))</f>
        <v>393.8601698890668</v>
      </c>
    </row>
    <row r="21" spans="1:36" ht="15" customHeight="1">
      <c r="A21" s="100" t="s">
        <v>224</v>
      </c>
      <c r="B21" s="95">
        <f>B19-B20</f>
        <v>17842.233967194767</v>
      </c>
      <c r="C21" s="99"/>
      <c r="D21" s="98">
        <f aca="true" t="shared" si="11" ref="D21:Q21">D19-D20</f>
        <v>0</v>
      </c>
      <c r="E21" s="98">
        <f>E19-E20</f>
        <v>0</v>
      </c>
      <c r="F21" s="98">
        <f t="shared" si="11"/>
        <v>0</v>
      </c>
      <c r="G21" s="98">
        <f t="shared" si="11"/>
        <v>0</v>
      </c>
      <c r="H21" s="98">
        <f t="shared" si="11"/>
        <v>0</v>
      </c>
      <c r="I21" s="98">
        <f t="shared" si="11"/>
        <v>0</v>
      </c>
      <c r="J21" s="98">
        <f t="shared" si="11"/>
        <v>0</v>
      </c>
      <c r="K21" s="98">
        <f t="shared" si="11"/>
        <v>0</v>
      </c>
      <c r="L21" s="98">
        <f t="shared" si="11"/>
        <v>-7.809375</v>
      </c>
      <c r="M21" s="98">
        <f t="shared" si="11"/>
        <v>-22.200937500000002</v>
      </c>
      <c r="N21" s="98">
        <f t="shared" si="11"/>
        <v>37.36311</v>
      </c>
      <c r="O21" s="98">
        <f t="shared" si="11"/>
        <v>148.57207875000006</v>
      </c>
      <c r="P21" s="96">
        <f t="shared" si="6"/>
        <v>155.92487625000007</v>
      </c>
      <c r="Q21" s="98">
        <f t="shared" si="11"/>
        <v>165.85106174999999</v>
      </c>
      <c r="R21" s="98">
        <f aca="true" t="shared" si="12" ref="R21:AF21">R19-R20</f>
        <v>-246.84393824999995</v>
      </c>
      <c r="S21" s="98">
        <f t="shared" si="12"/>
        <v>-193.0943706249999</v>
      </c>
      <c r="T21" s="98">
        <f t="shared" si="12"/>
        <v>-148.14807531250005</v>
      </c>
      <c r="U21" s="98">
        <f t="shared" si="12"/>
        <v>-148.87295885416674</v>
      </c>
      <c r="V21" s="98">
        <f t="shared" si="12"/>
        <v>-529.5729588541666</v>
      </c>
      <c r="W21" s="98">
        <f t="shared" si="12"/>
        <v>-529.5729588541666</v>
      </c>
      <c r="X21" s="98">
        <f t="shared" si="12"/>
        <v>-529.5729588541666</v>
      </c>
      <c r="Y21" s="98">
        <f t="shared" si="12"/>
        <v>-148.87295885416674</v>
      </c>
      <c r="Z21" s="98">
        <f t="shared" si="12"/>
        <v>-21.882305897840013</v>
      </c>
      <c r="AA21" s="98">
        <f t="shared" si="12"/>
        <v>105.27593631548628</v>
      </c>
      <c r="AB21" s="98">
        <f t="shared" si="12"/>
        <v>268.67610233764486</v>
      </c>
      <c r="AC21" s="96">
        <f t="shared" si="7"/>
        <v>-1956.6303839530424</v>
      </c>
      <c r="AD21" s="98">
        <f t="shared" si="12"/>
        <v>1357.8411960356098</v>
      </c>
      <c r="AE21" s="98">
        <f t="shared" si="12"/>
        <v>2449.8254216321097</v>
      </c>
      <c r="AF21" s="98">
        <f t="shared" si="12"/>
        <v>2683.747993396782</v>
      </c>
      <c r="AG21" s="98">
        <f>AG19-AG20</f>
        <v>2967.576139415407</v>
      </c>
      <c r="AH21" s="98">
        <f>AH19-AH20</f>
        <v>3223.4052324934582</v>
      </c>
      <c r="AI21" s="98">
        <f>AI19-AI20</f>
        <v>3415.8019629228534</v>
      </c>
      <c r="AJ21" s="98">
        <f>AJ19-AJ20</f>
        <v>3544.7415290016006</v>
      </c>
    </row>
    <row r="22" spans="1:36" ht="15" customHeight="1">
      <c r="A22" s="100" t="s">
        <v>225</v>
      </c>
      <c r="B22" s="101">
        <f>AJ22</f>
        <v>17842.233967194778</v>
      </c>
      <c r="C22" s="102"/>
      <c r="D22" s="98">
        <f>C22+D21</f>
        <v>0</v>
      </c>
      <c r="E22" s="98">
        <f>D22+E21</f>
        <v>0</v>
      </c>
      <c r="F22" s="98">
        <f aca="true" t="shared" si="13" ref="F22:O22">E22+F21</f>
        <v>0</v>
      </c>
      <c r="G22" s="98">
        <f t="shared" si="13"/>
        <v>0</v>
      </c>
      <c r="H22" s="98">
        <f t="shared" si="13"/>
        <v>0</v>
      </c>
      <c r="I22" s="98">
        <f t="shared" si="13"/>
        <v>0</v>
      </c>
      <c r="J22" s="98">
        <f t="shared" si="13"/>
        <v>0</v>
      </c>
      <c r="K22" s="98">
        <f t="shared" si="13"/>
        <v>0</v>
      </c>
      <c r="L22" s="98">
        <f t="shared" si="13"/>
        <v>-7.809375</v>
      </c>
      <c r="M22" s="98">
        <f t="shared" si="13"/>
        <v>-30.0103125</v>
      </c>
      <c r="N22" s="98">
        <f t="shared" si="13"/>
        <v>7.352797499999998</v>
      </c>
      <c r="O22" s="98">
        <f t="shared" si="13"/>
        <v>155.92487625000007</v>
      </c>
      <c r="P22" s="96">
        <f>O22</f>
        <v>155.92487625000007</v>
      </c>
      <c r="Q22" s="98">
        <f>P22+Q21</f>
        <v>321.77593800000005</v>
      </c>
      <c r="R22" s="98">
        <f aca="true" t="shared" si="14" ref="R22:AA22">Q22+R21</f>
        <v>74.9319997500001</v>
      </c>
      <c r="S22" s="98">
        <f t="shared" si="14"/>
        <v>-118.1623708749998</v>
      </c>
      <c r="T22" s="98">
        <f t="shared" si="14"/>
        <v>-266.31044618749985</v>
      </c>
      <c r="U22" s="98">
        <f t="shared" si="14"/>
        <v>-415.18340504166656</v>
      </c>
      <c r="V22" s="98">
        <f t="shared" si="14"/>
        <v>-944.7563638958331</v>
      </c>
      <c r="W22" s="98">
        <f t="shared" si="14"/>
        <v>-1474.3293227499998</v>
      </c>
      <c r="X22" s="98">
        <f t="shared" si="14"/>
        <v>-2003.9022816041665</v>
      </c>
      <c r="Y22" s="98">
        <f t="shared" si="14"/>
        <v>-2152.7752404583334</v>
      </c>
      <c r="Z22" s="98">
        <f t="shared" si="14"/>
        <v>-2174.6575463561735</v>
      </c>
      <c r="AA22" s="98">
        <f t="shared" si="14"/>
        <v>-2069.381610040687</v>
      </c>
      <c r="AB22" s="98">
        <f>AA22+AB21</f>
        <v>-1800.7055077030423</v>
      </c>
      <c r="AC22" s="96">
        <f>AB22</f>
        <v>-1800.7055077030423</v>
      </c>
      <c r="AD22" s="98">
        <f aca="true" t="shared" si="15" ref="AD22:AI22">AC22+AD21</f>
        <v>-442.8643116674325</v>
      </c>
      <c r="AE22" s="98">
        <f t="shared" si="15"/>
        <v>2006.9611099646772</v>
      </c>
      <c r="AF22" s="98">
        <f t="shared" si="15"/>
        <v>4690.70910336146</v>
      </c>
      <c r="AG22" s="98">
        <f t="shared" si="15"/>
        <v>7658.285242776867</v>
      </c>
      <c r="AH22" s="98">
        <f t="shared" si="15"/>
        <v>10881.690475270325</v>
      </c>
      <c r="AI22" s="98">
        <f t="shared" si="15"/>
        <v>14297.492438193178</v>
      </c>
      <c r="AJ22" s="98">
        <f>AI22+AJ21</f>
        <v>17842.233967194778</v>
      </c>
    </row>
    <row r="23" spans="1:175" ht="15" customHeight="1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</row>
    <row r="24" spans="1:36" ht="12.75" hidden="1">
      <c r="A24" s="105" t="s">
        <v>47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45" s="109" customFormat="1" ht="12.75" hidden="1">
      <c r="A25" s="325" t="s">
        <v>2</v>
      </c>
      <c r="B25" s="328" t="s">
        <v>0</v>
      </c>
      <c r="C25" s="106"/>
      <c r="D25" s="319">
        <f>D3</f>
        <v>2013</v>
      </c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1"/>
      <c r="Q25" s="319">
        <f>Q3</f>
        <v>2014</v>
      </c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1"/>
      <c r="AD25" s="107">
        <f aca="true" t="shared" si="16" ref="AD25:AJ25">AD3</f>
        <v>2015</v>
      </c>
      <c r="AE25" s="107">
        <f t="shared" si="16"/>
        <v>2016</v>
      </c>
      <c r="AF25" s="107">
        <f t="shared" si="16"/>
        <v>2017</v>
      </c>
      <c r="AG25" s="107">
        <f t="shared" si="16"/>
        <v>2018</v>
      </c>
      <c r="AH25" s="107">
        <f t="shared" si="16"/>
        <v>2019</v>
      </c>
      <c r="AI25" s="107">
        <f t="shared" si="16"/>
        <v>2020</v>
      </c>
      <c r="AJ25" s="107">
        <f t="shared" si="16"/>
        <v>2021</v>
      </c>
      <c r="AK25" s="108"/>
      <c r="AL25" s="108"/>
      <c r="AM25" s="108"/>
      <c r="AN25" s="108"/>
      <c r="AO25" s="108"/>
      <c r="AP25" s="108"/>
      <c r="AQ25" s="108"/>
      <c r="AR25" s="108"/>
      <c r="AS25" s="108"/>
    </row>
    <row r="26" spans="1:45" s="109" customFormat="1" ht="19.5" customHeight="1" hidden="1">
      <c r="A26" s="326"/>
      <c r="B26" s="329"/>
      <c r="C26" s="110"/>
      <c r="D26" s="111">
        <f>D4</f>
        <v>1</v>
      </c>
      <c r="E26" s="111">
        <f aca="true" t="shared" si="17" ref="E26:O26">E4</f>
        <v>2</v>
      </c>
      <c r="F26" s="111">
        <f t="shared" si="17"/>
        <v>3</v>
      </c>
      <c r="G26" s="111">
        <f t="shared" si="17"/>
        <v>4</v>
      </c>
      <c r="H26" s="111">
        <f t="shared" si="17"/>
        <v>5</v>
      </c>
      <c r="I26" s="111">
        <f t="shared" si="17"/>
        <v>6</v>
      </c>
      <c r="J26" s="111">
        <f t="shared" si="17"/>
        <v>7</v>
      </c>
      <c r="K26" s="111">
        <f t="shared" si="17"/>
        <v>8</v>
      </c>
      <c r="L26" s="111">
        <f t="shared" si="17"/>
        <v>9</v>
      </c>
      <c r="M26" s="111">
        <f t="shared" si="17"/>
        <v>10</v>
      </c>
      <c r="N26" s="111">
        <f t="shared" si="17"/>
        <v>11</v>
      </c>
      <c r="O26" s="111">
        <f t="shared" si="17"/>
        <v>12</v>
      </c>
      <c r="P26" s="112" t="s">
        <v>0</v>
      </c>
      <c r="Q26" s="111">
        <f>Q4</f>
        <v>1</v>
      </c>
      <c r="R26" s="111">
        <f aca="true" t="shared" si="18" ref="R26:AB26">R4</f>
        <v>2</v>
      </c>
      <c r="S26" s="111">
        <f t="shared" si="18"/>
        <v>3</v>
      </c>
      <c r="T26" s="111">
        <f t="shared" si="18"/>
        <v>4</v>
      </c>
      <c r="U26" s="111">
        <f t="shared" si="18"/>
        <v>5</v>
      </c>
      <c r="V26" s="111">
        <f t="shared" si="18"/>
        <v>6</v>
      </c>
      <c r="W26" s="111">
        <f t="shared" si="18"/>
        <v>7</v>
      </c>
      <c r="X26" s="111">
        <f t="shared" si="18"/>
        <v>8</v>
      </c>
      <c r="Y26" s="111">
        <f t="shared" si="18"/>
        <v>9</v>
      </c>
      <c r="Z26" s="111">
        <f t="shared" si="18"/>
        <v>10</v>
      </c>
      <c r="AA26" s="111">
        <f t="shared" si="18"/>
        <v>11</v>
      </c>
      <c r="AB26" s="111">
        <f t="shared" si="18"/>
        <v>12</v>
      </c>
      <c r="AC26" s="112" t="s">
        <v>0</v>
      </c>
      <c r="AD26" s="112"/>
      <c r="AE26" s="112"/>
      <c r="AF26" s="112"/>
      <c r="AG26" s="112"/>
      <c r="AH26" s="112"/>
      <c r="AI26" s="112"/>
      <c r="AJ26" s="112"/>
      <c r="AK26" s="108"/>
      <c r="AL26" s="108"/>
      <c r="AM26" s="108"/>
      <c r="AN26" s="108"/>
      <c r="AO26" s="108"/>
      <c r="AP26" s="108"/>
      <c r="AQ26" s="108"/>
      <c r="AR26" s="108"/>
      <c r="AS26" s="108"/>
    </row>
    <row r="27" spans="1:45" s="109" customFormat="1" ht="12.75" hidden="1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08"/>
      <c r="AL27" s="108"/>
      <c r="AM27" s="108"/>
      <c r="AN27" s="108"/>
      <c r="AO27" s="108"/>
      <c r="AP27" s="108"/>
      <c r="AQ27" s="108"/>
      <c r="AR27" s="108"/>
      <c r="AS27" s="108"/>
    </row>
    <row r="28" spans="1:45" s="109" customFormat="1" ht="12.75" hidden="1">
      <c r="A28" s="113" t="s">
        <v>149</v>
      </c>
      <c r="B28" s="95">
        <f>P28+AC28+AD28+AE28+AF28+AG28+AH28+AI28+AJ28</f>
        <v>0</v>
      </c>
      <c r="C28" s="115"/>
      <c r="D28" s="115">
        <f aca="true" t="shared" si="19" ref="D28:O28">D5*ндс</f>
        <v>0</v>
      </c>
      <c r="E28" s="115">
        <f t="shared" si="19"/>
        <v>0</v>
      </c>
      <c r="F28" s="115">
        <f t="shared" si="19"/>
        <v>0</v>
      </c>
      <c r="G28" s="115">
        <f t="shared" si="19"/>
        <v>0</v>
      </c>
      <c r="H28" s="115">
        <f t="shared" si="19"/>
        <v>0</v>
      </c>
      <c r="I28" s="115">
        <f t="shared" si="19"/>
        <v>0</v>
      </c>
      <c r="J28" s="115">
        <f t="shared" si="19"/>
        <v>0</v>
      </c>
      <c r="K28" s="115">
        <f t="shared" si="19"/>
        <v>0</v>
      </c>
      <c r="L28" s="115">
        <f t="shared" si="19"/>
        <v>0</v>
      </c>
      <c r="M28" s="115">
        <f t="shared" si="19"/>
        <v>0</v>
      </c>
      <c r="N28" s="115">
        <f t="shared" si="19"/>
        <v>0</v>
      </c>
      <c r="O28" s="115">
        <f t="shared" si="19"/>
        <v>0</v>
      </c>
      <c r="P28" s="116">
        <f>SUM(D28:O28)</f>
        <v>0</v>
      </c>
      <c r="Q28" s="115">
        <f aca="true" t="shared" si="20" ref="Q28:AB28">Q5*ндс</f>
        <v>0</v>
      </c>
      <c r="R28" s="115">
        <f t="shared" si="20"/>
        <v>0</v>
      </c>
      <c r="S28" s="115">
        <f t="shared" si="20"/>
        <v>0</v>
      </c>
      <c r="T28" s="115">
        <f t="shared" si="20"/>
        <v>0</v>
      </c>
      <c r="U28" s="115">
        <f t="shared" si="20"/>
        <v>0</v>
      </c>
      <c r="V28" s="115">
        <f t="shared" si="20"/>
        <v>0</v>
      </c>
      <c r="W28" s="115">
        <f t="shared" si="20"/>
        <v>0</v>
      </c>
      <c r="X28" s="115">
        <f t="shared" si="20"/>
        <v>0</v>
      </c>
      <c r="Y28" s="115">
        <f t="shared" si="20"/>
        <v>0</v>
      </c>
      <c r="Z28" s="115">
        <f t="shared" si="20"/>
        <v>0</v>
      </c>
      <c r="AA28" s="115">
        <f t="shared" si="20"/>
        <v>0</v>
      </c>
      <c r="AB28" s="115">
        <f t="shared" si="20"/>
        <v>0</v>
      </c>
      <c r="AC28" s="116">
        <f>SUM(Q28:AB28)</f>
        <v>0</v>
      </c>
      <c r="AD28" s="115">
        <f aca="true" t="shared" si="21" ref="AD28:AJ28">AD5*ндс</f>
        <v>0</v>
      </c>
      <c r="AE28" s="115">
        <f t="shared" si="21"/>
        <v>0</v>
      </c>
      <c r="AF28" s="115">
        <f t="shared" si="21"/>
        <v>0</v>
      </c>
      <c r="AG28" s="115">
        <f t="shared" si="21"/>
        <v>0</v>
      </c>
      <c r="AH28" s="115">
        <f t="shared" si="21"/>
        <v>0</v>
      </c>
      <c r="AI28" s="115">
        <f t="shared" si="21"/>
        <v>0</v>
      </c>
      <c r="AJ28" s="115">
        <f t="shared" si="21"/>
        <v>0</v>
      </c>
      <c r="AK28" s="108"/>
      <c r="AL28" s="108"/>
      <c r="AM28" s="108"/>
      <c r="AN28" s="108"/>
      <c r="AO28" s="108"/>
      <c r="AP28" s="108"/>
      <c r="AQ28" s="108"/>
      <c r="AR28" s="108"/>
      <c r="AS28" s="108"/>
    </row>
    <row r="29" spans="1:45" s="109" customFormat="1" ht="12.75" hidden="1">
      <c r="A29" s="113" t="s">
        <v>150</v>
      </c>
      <c r="B29" s="95">
        <f>P29+AC29+AD29+AE29+AF29+AG29+AH29+AI29+AJ29</f>
        <v>0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>
        <f>SUM(D29:O29)</f>
        <v>0</v>
      </c>
      <c r="Q29" s="115"/>
      <c r="R29" s="115"/>
      <c r="S29" s="115"/>
      <c r="T29" s="115"/>
      <c r="U29" s="115"/>
      <c r="V29" s="115"/>
      <c r="W29" s="115">
        <f>'1-Ф3'!W16/Исх!$C$20*ндс</f>
        <v>0</v>
      </c>
      <c r="X29" s="115">
        <f>(X13+X16-Пост!$D$6-Пост!$D$18-Пост!$D$21)*ндс+('1-Ф3'!X16/Исх!$C$20-'2-ф2'!X13)*ндс</f>
        <v>0</v>
      </c>
      <c r="Y29" s="115">
        <f>(Y13+Y16-Пост!$D$6-Пост!$D$18-Пост!$D$21)*ндс+('1-Ф3'!Y16/Исх!$C$20-'2-ф2'!Y13)*ндс</f>
        <v>0</v>
      </c>
      <c r="Z29" s="115">
        <f>(Z13+Z16-Пост!$D$6-Пост!$D$18-Пост!$D$21)*ндс+('1-Ф3'!Z16/Исх!$C$20-'2-ф2'!Z13)*ндс</f>
        <v>0</v>
      </c>
      <c r="AA29" s="115">
        <f>(AA13+AA16-Пост!$D$6-Пост!$D$18-Пост!$D$21)*ндс+('1-Ф3'!AA16/Исх!$C$20-'2-ф2'!AA13)*ндс</f>
        <v>0</v>
      </c>
      <c r="AB29" s="115">
        <f>(AB13+AB16-Пост!$D$6-Пост!$D$18-Пост!$D$21)*ндс+('1-Ф3'!AB16/Исх!$C$20-'2-ф2'!AB13)*ндс</f>
        <v>0</v>
      </c>
      <c r="AC29" s="116">
        <f>SUM(Q29:AB29)</f>
        <v>0</v>
      </c>
      <c r="AD29" s="115">
        <f>(AD13+AD16-(Пост!E6+Пост!E18+Пост!E21)*12)*ндс+('1-Ф3'!AD16/Исх!$C$20-'2-ф2'!AD13)*ндс</f>
        <v>0</v>
      </c>
      <c r="AE29" s="115">
        <f>(AE13+AE16-(Пост!F6+Пост!F18+Пост!F21)*12)*ндс+('1-Ф3'!AE16/Исх!$C$20-'2-ф2'!AE13)*ндс</f>
        <v>0</v>
      </c>
      <c r="AF29" s="115">
        <f>(AF13+AF16-(Пост!G6+Пост!G18+Пост!G21)*12)*ндс+('1-Ф3'!AF16/Исх!$C$20-'2-ф2'!AF13)*ндс</f>
        <v>0</v>
      </c>
      <c r="AG29" s="115">
        <f>(AG13+AG16-(Пост!H6+Пост!H18+Пост!H21)*12)*ндс+('1-Ф3'!AG16/Исх!$C$20-'2-ф2'!AG13)*ндс</f>
        <v>0</v>
      </c>
      <c r="AH29" s="115">
        <f>(AH13+AH16-(Пост!I6+Пост!I18+Пост!I21)*12)*ндс+('1-Ф3'!AH16/Исх!$C$20-'2-ф2'!AH13)*ндс</f>
        <v>0</v>
      </c>
      <c r="AI29" s="115">
        <f>(AI13+AI16-(Пост!J6+Пост!J18+Пост!J21)*12)*ндс+('1-Ф3'!AI16/Исх!$C$20-'2-ф2'!AI13)*ндс</f>
        <v>0</v>
      </c>
      <c r="AJ29" s="115">
        <f>(AJ13+AJ16-(Пост!K6+Пост!K18+Пост!K21)*12)*ндс+('1-Ф3'!AJ16/Исх!$C$20-'2-ф2'!AJ13)*ндс</f>
        <v>0</v>
      </c>
      <c r="AK29" s="108"/>
      <c r="AL29" s="108"/>
      <c r="AM29" s="108"/>
      <c r="AN29" s="108"/>
      <c r="AO29" s="108"/>
      <c r="AP29" s="108"/>
      <c r="AQ29" s="108"/>
      <c r="AR29" s="108"/>
      <c r="AS29" s="108"/>
    </row>
    <row r="30" spans="1:45" s="109" customFormat="1" ht="12.75" hidden="1">
      <c r="A30" s="113" t="s">
        <v>151</v>
      </c>
      <c r="B30" s="95">
        <f>P30+AC30+AD30+AE30+AF30+AG30+AH30+AI30+AJ30</f>
        <v>0</v>
      </c>
      <c r="C30" s="115"/>
      <c r="D30" s="115">
        <f>Инв!E31/Исх!$C$20*ндс</f>
        <v>0</v>
      </c>
      <c r="E30" s="115">
        <f>Инв!F31/Исх!$C$20*ндс</f>
        <v>0</v>
      </c>
      <c r="F30" s="115">
        <f>Инв!G31/Исх!$C$20*ндс</f>
        <v>0</v>
      </c>
      <c r="G30" s="115">
        <f>Инв!H31/Исх!$C$20*ндс</f>
        <v>0</v>
      </c>
      <c r="H30" s="115">
        <f>Инв!I31/Исх!$C$20*ндс</f>
        <v>0</v>
      </c>
      <c r="I30" s="115">
        <f>Инв!J31/Исх!$C$20*ндс</f>
        <v>0</v>
      </c>
      <c r="J30" s="115">
        <f>Инв!K31/Исх!$C$20*ндс</f>
        <v>0</v>
      </c>
      <c r="K30" s="115">
        <f>Инв!L31/Исх!$C$20*ндс</f>
        <v>0</v>
      </c>
      <c r="L30" s="115">
        <f>Инв!M31/Исх!$C$20*ндс</f>
        <v>0</v>
      </c>
      <c r="M30" s="115">
        <f>Инв!N31/Исх!$C$20*ндс</f>
        <v>0</v>
      </c>
      <c r="N30" s="115">
        <f>Инв!O31/Исх!$C$20*ндс</f>
        <v>0</v>
      </c>
      <c r="O30" s="115">
        <f>Инв!P31/Исх!$C$20*ндс</f>
        <v>0</v>
      </c>
      <c r="P30" s="116">
        <f>SUM(D30:O30)</f>
        <v>0</v>
      </c>
      <c r="Q30" s="115">
        <f>Инв!R31/Исх!$C$20*ндс</f>
        <v>0</v>
      </c>
      <c r="R30" s="115">
        <f>Инв!S31/Исх!$C$20*ндс</f>
        <v>0</v>
      </c>
      <c r="S30" s="115">
        <f>Инв!T31/Исх!$C$20*ндс</f>
        <v>0</v>
      </c>
      <c r="T30" s="115">
        <f>Инв!U31/Исх!$C$20*ндс</f>
        <v>0</v>
      </c>
      <c r="U30" s="115">
        <f>Инв!V31/Исх!$C$20*ндс</f>
        <v>0</v>
      </c>
      <c r="V30" s="115">
        <f>Инв!W31/Исх!$C$20*ндс</f>
        <v>0</v>
      </c>
      <c r="W30" s="115">
        <f>Инв!X31/Исх!$C$20*ндс</f>
        <v>0</v>
      </c>
      <c r="X30" s="115">
        <f>Инв!Y31/Исх!$C$20*ндс</f>
        <v>0</v>
      </c>
      <c r="Y30" s="115">
        <f>Инв!Z31/Исх!$C$20*ндс</f>
        <v>0</v>
      </c>
      <c r="Z30" s="115">
        <f>Инв!AA31/Исх!$C$20*ндс</f>
        <v>0</v>
      </c>
      <c r="AA30" s="115">
        <f>Инв!AB31/Исх!$C$20*ндс</f>
        <v>0</v>
      </c>
      <c r="AB30" s="115">
        <f>Инв!AC31/Исх!$C$20*ндс</f>
        <v>0</v>
      </c>
      <c r="AC30" s="116"/>
      <c r="AD30" s="116"/>
      <c r="AE30" s="116"/>
      <c r="AF30" s="116"/>
      <c r="AG30" s="116"/>
      <c r="AH30" s="116"/>
      <c r="AI30" s="116"/>
      <c r="AJ30" s="116"/>
      <c r="AK30" s="108"/>
      <c r="AL30" s="108"/>
      <c r="AM30" s="108"/>
      <c r="AN30" s="108"/>
      <c r="AO30" s="108"/>
      <c r="AP30" s="108"/>
      <c r="AQ30" s="108"/>
      <c r="AR30" s="108"/>
      <c r="AS30" s="108"/>
    </row>
    <row r="31" spans="1:45" s="109" customFormat="1" ht="12.75" hidden="1">
      <c r="A31" s="113" t="s">
        <v>26</v>
      </c>
      <c r="B31" s="95">
        <f>P31+AC31+AD31+AE31+AF31+AG31+AH31+AI31+AJ31</f>
        <v>0</v>
      </c>
      <c r="C31" s="115"/>
      <c r="D31" s="115">
        <f>D28-D29-D30</f>
        <v>0</v>
      </c>
      <c r="E31" s="115">
        <f aca="true" t="shared" si="22" ref="E31:O31">E28-E29-E30</f>
        <v>0</v>
      </c>
      <c r="F31" s="115">
        <f t="shared" si="22"/>
        <v>0</v>
      </c>
      <c r="G31" s="115">
        <f t="shared" si="22"/>
        <v>0</v>
      </c>
      <c r="H31" s="115">
        <f t="shared" si="22"/>
        <v>0</v>
      </c>
      <c r="I31" s="115">
        <f t="shared" si="22"/>
        <v>0</v>
      </c>
      <c r="J31" s="115">
        <f t="shared" si="22"/>
        <v>0</v>
      </c>
      <c r="K31" s="115">
        <f t="shared" si="22"/>
        <v>0</v>
      </c>
      <c r="L31" s="115">
        <f t="shared" si="22"/>
        <v>0</v>
      </c>
      <c r="M31" s="115">
        <f t="shared" si="22"/>
        <v>0</v>
      </c>
      <c r="N31" s="115">
        <f t="shared" si="22"/>
        <v>0</v>
      </c>
      <c r="O31" s="115">
        <f t="shared" si="22"/>
        <v>0</v>
      </c>
      <c r="P31" s="116">
        <f>SUM(D31:O31)</f>
        <v>0</v>
      </c>
      <c r="Q31" s="115">
        <f aca="true" t="shared" si="23" ref="Q31:AB31">Q28-Q29-Q30</f>
        <v>0</v>
      </c>
      <c r="R31" s="115">
        <f t="shared" si="23"/>
        <v>0</v>
      </c>
      <c r="S31" s="115">
        <f t="shared" si="23"/>
        <v>0</v>
      </c>
      <c r="T31" s="115">
        <f t="shared" si="23"/>
        <v>0</v>
      </c>
      <c r="U31" s="115">
        <f t="shared" si="23"/>
        <v>0</v>
      </c>
      <c r="V31" s="115">
        <f t="shared" si="23"/>
        <v>0</v>
      </c>
      <c r="W31" s="115">
        <f t="shared" si="23"/>
        <v>0</v>
      </c>
      <c r="X31" s="115">
        <f t="shared" si="23"/>
        <v>0</v>
      </c>
      <c r="Y31" s="115">
        <f t="shared" si="23"/>
        <v>0</v>
      </c>
      <c r="Z31" s="115">
        <f t="shared" si="23"/>
        <v>0</v>
      </c>
      <c r="AA31" s="115">
        <f t="shared" si="23"/>
        <v>0</v>
      </c>
      <c r="AB31" s="115">
        <f t="shared" si="23"/>
        <v>0</v>
      </c>
      <c r="AC31" s="116">
        <f>SUM(Q31:AB31)</f>
        <v>0</v>
      </c>
      <c r="AD31" s="115">
        <f aca="true" t="shared" si="24" ref="AD31:AI31">AD28-AD29-AD30</f>
        <v>0</v>
      </c>
      <c r="AE31" s="115">
        <f t="shared" si="24"/>
        <v>0</v>
      </c>
      <c r="AF31" s="115">
        <f t="shared" si="24"/>
        <v>0</v>
      </c>
      <c r="AG31" s="115">
        <f t="shared" si="24"/>
        <v>0</v>
      </c>
      <c r="AH31" s="115">
        <f t="shared" si="24"/>
        <v>0</v>
      </c>
      <c r="AI31" s="115">
        <f t="shared" si="24"/>
        <v>0</v>
      </c>
      <c r="AJ31" s="115">
        <f>AJ28-AJ29-AJ30</f>
        <v>0</v>
      </c>
      <c r="AK31" s="108"/>
      <c r="AL31" s="108"/>
      <c r="AM31" s="108"/>
      <c r="AN31" s="108"/>
      <c r="AO31" s="108"/>
      <c r="AP31" s="108"/>
      <c r="AQ31" s="108"/>
      <c r="AR31" s="108"/>
      <c r="AS31" s="108"/>
    </row>
    <row r="32" spans="1:45" s="109" customFormat="1" ht="12.75" hidden="1">
      <c r="A32" s="113" t="s">
        <v>152</v>
      </c>
      <c r="B32" s="101">
        <f>AJ32</f>
        <v>0</v>
      </c>
      <c r="C32" s="115"/>
      <c r="D32" s="115">
        <f>D31</f>
        <v>0</v>
      </c>
      <c r="E32" s="115">
        <f>D32+E31</f>
        <v>0</v>
      </c>
      <c r="F32" s="115">
        <f aca="true" t="shared" si="25" ref="F32:O32">E32+F31</f>
        <v>0</v>
      </c>
      <c r="G32" s="115">
        <f t="shared" si="25"/>
        <v>0</v>
      </c>
      <c r="H32" s="115">
        <f t="shared" si="25"/>
        <v>0</v>
      </c>
      <c r="I32" s="115">
        <f t="shared" si="25"/>
        <v>0</v>
      </c>
      <c r="J32" s="115">
        <f t="shared" si="25"/>
        <v>0</v>
      </c>
      <c r="K32" s="115">
        <f t="shared" si="25"/>
        <v>0</v>
      </c>
      <c r="L32" s="115">
        <f t="shared" si="25"/>
        <v>0</v>
      </c>
      <c r="M32" s="115">
        <f t="shared" si="25"/>
        <v>0</v>
      </c>
      <c r="N32" s="115">
        <f t="shared" si="25"/>
        <v>0</v>
      </c>
      <c r="O32" s="115">
        <f t="shared" si="25"/>
        <v>0</v>
      </c>
      <c r="P32" s="116">
        <f>O32</f>
        <v>0</v>
      </c>
      <c r="Q32" s="115">
        <f aca="true" t="shared" si="26" ref="Q32:AB32">P32+Q31</f>
        <v>0</v>
      </c>
      <c r="R32" s="115">
        <f t="shared" si="26"/>
        <v>0</v>
      </c>
      <c r="S32" s="115">
        <f t="shared" si="26"/>
        <v>0</v>
      </c>
      <c r="T32" s="115">
        <f t="shared" si="26"/>
        <v>0</v>
      </c>
      <c r="U32" s="115">
        <f t="shared" si="26"/>
        <v>0</v>
      </c>
      <c r="V32" s="115">
        <f t="shared" si="26"/>
        <v>0</v>
      </c>
      <c r="W32" s="115">
        <f t="shared" si="26"/>
        <v>0</v>
      </c>
      <c r="X32" s="115">
        <f t="shared" si="26"/>
        <v>0</v>
      </c>
      <c r="Y32" s="115">
        <f t="shared" si="26"/>
        <v>0</v>
      </c>
      <c r="Z32" s="115">
        <f t="shared" si="26"/>
        <v>0</v>
      </c>
      <c r="AA32" s="115">
        <f t="shared" si="26"/>
        <v>0</v>
      </c>
      <c r="AB32" s="115">
        <f t="shared" si="26"/>
        <v>0</v>
      </c>
      <c r="AC32" s="116">
        <f>AB32</f>
        <v>0</v>
      </c>
      <c r="AD32" s="115">
        <f aca="true" t="shared" si="27" ref="AD32:AI32">AC32+AD31</f>
        <v>0</v>
      </c>
      <c r="AE32" s="115">
        <f t="shared" si="27"/>
        <v>0</v>
      </c>
      <c r="AF32" s="115">
        <f t="shared" si="27"/>
        <v>0</v>
      </c>
      <c r="AG32" s="115">
        <f t="shared" si="27"/>
        <v>0</v>
      </c>
      <c r="AH32" s="115">
        <f t="shared" si="27"/>
        <v>0</v>
      </c>
      <c r="AI32" s="115">
        <f t="shared" si="27"/>
        <v>0</v>
      </c>
      <c r="AJ32" s="115">
        <f>AI32+AJ31</f>
        <v>0</v>
      </c>
      <c r="AK32" s="108"/>
      <c r="AL32" s="108"/>
      <c r="AM32" s="108"/>
      <c r="AN32" s="108"/>
      <c r="AO32" s="108"/>
      <c r="AP32" s="108"/>
      <c r="AQ32" s="108"/>
      <c r="AR32" s="108"/>
      <c r="AS32" s="108"/>
    </row>
    <row r="33" spans="1:45" s="109" customFormat="1" ht="12.75" hidden="1">
      <c r="A33" s="113" t="s">
        <v>153</v>
      </c>
      <c r="B33" s="95">
        <f>P33+AC33+AD33+AE33+AF33+AG33+AH33+AI33+AJ33</f>
        <v>0</v>
      </c>
      <c r="C33" s="115"/>
      <c r="D33" s="115">
        <f>IF(C32+D31&gt;=0,IF(C32&lt;0,C32+D31,D31),0)</f>
        <v>0</v>
      </c>
      <c r="E33" s="115">
        <f aca="true" t="shared" si="28" ref="E33:AI33">IF(D32+E31&gt;=0,IF(D32&lt;0,D32+E31,E31),0)</f>
        <v>0</v>
      </c>
      <c r="F33" s="115">
        <f t="shared" si="28"/>
        <v>0</v>
      </c>
      <c r="G33" s="115">
        <f t="shared" si="28"/>
        <v>0</v>
      </c>
      <c r="H33" s="115">
        <f t="shared" si="28"/>
        <v>0</v>
      </c>
      <c r="I33" s="115">
        <f t="shared" si="28"/>
        <v>0</v>
      </c>
      <c r="J33" s="115">
        <f t="shared" si="28"/>
        <v>0</v>
      </c>
      <c r="K33" s="115">
        <f t="shared" si="28"/>
        <v>0</v>
      </c>
      <c r="L33" s="115">
        <f t="shared" si="28"/>
        <v>0</v>
      </c>
      <c r="M33" s="115">
        <f t="shared" si="28"/>
        <v>0</v>
      </c>
      <c r="N33" s="115">
        <f t="shared" si="28"/>
        <v>0</v>
      </c>
      <c r="O33" s="115">
        <f t="shared" si="28"/>
        <v>0</v>
      </c>
      <c r="P33" s="116">
        <f>SUM(D33:O33)</f>
        <v>0</v>
      </c>
      <c r="Q33" s="115">
        <f t="shared" si="28"/>
        <v>0</v>
      </c>
      <c r="R33" s="115">
        <f t="shared" si="28"/>
        <v>0</v>
      </c>
      <c r="S33" s="115">
        <f t="shared" si="28"/>
        <v>0</v>
      </c>
      <c r="T33" s="115">
        <f t="shared" si="28"/>
        <v>0</v>
      </c>
      <c r="U33" s="115">
        <f t="shared" si="28"/>
        <v>0</v>
      </c>
      <c r="V33" s="115">
        <f t="shared" si="28"/>
        <v>0</v>
      </c>
      <c r="W33" s="115">
        <f t="shared" si="28"/>
        <v>0</v>
      </c>
      <c r="X33" s="115">
        <f t="shared" si="28"/>
        <v>0</v>
      </c>
      <c r="Y33" s="115">
        <f t="shared" si="28"/>
        <v>0</v>
      </c>
      <c r="Z33" s="115">
        <f t="shared" si="28"/>
        <v>0</v>
      </c>
      <c r="AA33" s="115">
        <f t="shared" si="28"/>
        <v>0</v>
      </c>
      <c r="AB33" s="115">
        <f t="shared" si="28"/>
        <v>0</v>
      </c>
      <c r="AC33" s="116">
        <f>SUM(Q33:AB33)</f>
        <v>0</v>
      </c>
      <c r="AD33" s="115">
        <f t="shared" si="28"/>
        <v>0</v>
      </c>
      <c r="AE33" s="115">
        <f t="shared" si="28"/>
        <v>0</v>
      </c>
      <c r="AF33" s="115">
        <f t="shared" si="28"/>
        <v>0</v>
      </c>
      <c r="AG33" s="115">
        <f t="shared" si="28"/>
        <v>0</v>
      </c>
      <c r="AH33" s="115">
        <f t="shared" si="28"/>
        <v>0</v>
      </c>
      <c r="AI33" s="115">
        <f t="shared" si="28"/>
        <v>0</v>
      </c>
      <c r="AJ33" s="115">
        <f>IF(AI32+AJ31&gt;=0,IF(AI32&lt;0,AI32+AJ31,AJ31),0)</f>
        <v>0</v>
      </c>
      <c r="AK33" s="108"/>
      <c r="AL33" s="108"/>
      <c r="AM33" s="108"/>
      <c r="AN33" s="108"/>
      <c r="AO33" s="108"/>
      <c r="AP33" s="108"/>
      <c r="AQ33" s="108"/>
      <c r="AR33" s="108"/>
      <c r="AS33" s="108"/>
    </row>
    <row r="35" ht="12.75">
      <c r="B35" s="245">
        <f>B28-B29-B30</f>
        <v>0</v>
      </c>
    </row>
  </sheetData>
  <sheetProtection/>
  <mergeCells count="8">
    <mergeCell ref="Q25:AC25"/>
    <mergeCell ref="Q3:AC3"/>
    <mergeCell ref="A3:A4"/>
    <mergeCell ref="A25:A26"/>
    <mergeCell ref="B3:B4"/>
    <mergeCell ref="D25:P25"/>
    <mergeCell ref="B25:B26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D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D25" sqref="AD25"/>
    </sheetView>
  </sheetViews>
  <sheetFormatPr defaultColWidth="10.125" defaultRowHeight="12.75" outlineLevelCol="1"/>
  <cols>
    <col min="1" max="1" width="38.125" style="118" customWidth="1"/>
    <col min="2" max="2" width="2.375" style="118" customWidth="1"/>
    <col min="3" max="3" width="7.125" style="118" customWidth="1"/>
    <col min="4" max="4" width="11.375" style="118" hidden="1" customWidth="1" outlineLevel="1"/>
    <col min="5" max="11" width="7.375" style="118" hidden="1" customWidth="1" outlineLevel="1"/>
    <col min="12" max="12" width="8.00390625" style="118" hidden="1" customWidth="1" outlineLevel="1"/>
    <col min="13" max="13" width="7.875" style="118" hidden="1" customWidth="1" outlineLevel="1"/>
    <col min="14" max="15" width="8.125" style="118" hidden="1" customWidth="1" outlineLevel="1"/>
    <col min="16" max="16" width="9.875" style="118" customWidth="1" collapsed="1"/>
    <col min="17" max="23" width="8.375" style="118" hidden="1" customWidth="1" outlineLevel="1"/>
    <col min="24" max="25" width="8.75390625" style="118" hidden="1" customWidth="1" outlineLevel="1"/>
    <col min="26" max="26" width="8.625" style="118" hidden="1" customWidth="1" outlineLevel="1"/>
    <col min="27" max="27" width="9.00390625" style="118" hidden="1" customWidth="1" outlineLevel="1"/>
    <col min="28" max="28" width="9.125" style="118" hidden="1" customWidth="1" outlineLevel="1"/>
    <col min="29" max="29" width="10.125" style="118" customWidth="1" collapsed="1"/>
    <col min="30" max="31" width="8.125" style="118" bestFit="1" customWidth="1"/>
    <col min="32" max="35" width="7.625" style="118" bestFit="1" customWidth="1"/>
    <col min="36" max="36" width="9.125" style="118" customWidth="1"/>
    <col min="37" max="16384" width="10.125" style="118" customWidth="1"/>
  </cols>
  <sheetData>
    <row r="1" spans="1:3" ht="12.75">
      <c r="A1" s="61" t="s">
        <v>105</v>
      </c>
      <c r="B1" s="117"/>
      <c r="C1" s="117"/>
    </row>
    <row r="2" spans="1:34" ht="17.25" customHeight="1">
      <c r="A2" s="61"/>
      <c r="C2" s="12" t="str">
        <f>Исх!$C$11</f>
        <v>тыс.тг.</v>
      </c>
      <c r="P2" s="119"/>
      <c r="AC2" s="119"/>
      <c r="AD2" s="119"/>
      <c r="AE2" s="119"/>
      <c r="AF2" s="119"/>
      <c r="AG2" s="119"/>
      <c r="AH2" s="119"/>
    </row>
    <row r="3" spans="1:36" ht="12.75" customHeight="1">
      <c r="A3" s="330" t="s">
        <v>2</v>
      </c>
      <c r="B3" s="332"/>
      <c r="C3" s="121"/>
      <c r="D3" s="333">
        <v>2013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>
        <v>2014</v>
      </c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122">
        <v>2015</v>
      </c>
      <c r="AE3" s="122">
        <f aca="true" t="shared" si="0" ref="AE3:AJ3">AD3+1</f>
        <v>2016</v>
      </c>
      <c r="AF3" s="122">
        <f t="shared" si="0"/>
        <v>2017</v>
      </c>
      <c r="AG3" s="122">
        <f t="shared" si="0"/>
        <v>2018</v>
      </c>
      <c r="AH3" s="122">
        <f t="shared" si="0"/>
        <v>2019</v>
      </c>
      <c r="AI3" s="122">
        <f t="shared" si="0"/>
        <v>2020</v>
      </c>
      <c r="AJ3" s="122">
        <f t="shared" si="0"/>
        <v>2021</v>
      </c>
    </row>
    <row r="4" spans="1:36" ht="12.75">
      <c r="A4" s="331"/>
      <c r="B4" s="332"/>
      <c r="C4" s="123"/>
      <c r="D4" s="124">
        <v>1</v>
      </c>
      <c r="E4" s="124">
        <f>D4+1</f>
        <v>2</v>
      </c>
      <c r="F4" s="124">
        <f aca="true" t="shared" si="1" ref="F4:O4">E4+1</f>
        <v>3</v>
      </c>
      <c r="G4" s="124">
        <f t="shared" si="1"/>
        <v>4</v>
      </c>
      <c r="H4" s="124">
        <f t="shared" si="1"/>
        <v>5</v>
      </c>
      <c r="I4" s="124">
        <f t="shared" si="1"/>
        <v>6</v>
      </c>
      <c r="J4" s="124">
        <f t="shared" si="1"/>
        <v>7</v>
      </c>
      <c r="K4" s="124">
        <f t="shared" si="1"/>
        <v>8</v>
      </c>
      <c r="L4" s="124">
        <f t="shared" si="1"/>
        <v>9</v>
      </c>
      <c r="M4" s="124">
        <f t="shared" si="1"/>
        <v>10</v>
      </c>
      <c r="N4" s="124">
        <f t="shared" si="1"/>
        <v>11</v>
      </c>
      <c r="O4" s="124">
        <f t="shared" si="1"/>
        <v>12</v>
      </c>
      <c r="P4" s="120" t="s">
        <v>0</v>
      </c>
      <c r="Q4" s="124">
        <v>1</v>
      </c>
      <c r="R4" s="124">
        <f aca="true" t="shared" si="2" ref="R4:AB4">Q4+1</f>
        <v>2</v>
      </c>
      <c r="S4" s="124">
        <f t="shared" si="2"/>
        <v>3</v>
      </c>
      <c r="T4" s="124">
        <f t="shared" si="2"/>
        <v>4</v>
      </c>
      <c r="U4" s="124">
        <f t="shared" si="2"/>
        <v>5</v>
      </c>
      <c r="V4" s="124">
        <f t="shared" si="2"/>
        <v>6</v>
      </c>
      <c r="W4" s="124">
        <f t="shared" si="2"/>
        <v>7</v>
      </c>
      <c r="X4" s="124">
        <f t="shared" si="2"/>
        <v>8</v>
      </c>
      <c r="Y4" s="124">
        <f t="shared" si="2"/>
        <v>9</v>
      </c>
      <c r="Z4" s="124">
        <f t="shared" si="2"/>
        <v>10</v>
      </c>
      <c r="AA4" s="124">
        <f t="shared" si="2"/>
        <v>11</v>
      </c>
      <c r="AB4" s="124">
        <f t="shared" si="2"/>
        <v>12</v>
      </c>
      <c r="AC4" s="120" t="s">
        <v>0</v>
      </c>
      <c r="AD4" s="120" t="s">
        <v>324</v>
      </c>
      <c r="AE4" s="120" t="s">
        <v>324</v>
      </c>
      <c r="AF4" s="120" t="s">
        <v>324</v>
      </c>
      <c r="AG4" s="120" t="s">
        <v>324</v>
      </c>
      <c r="AH4" s="120" t="s">
        <v>324</v>
      </c>
      <c r="AI4" s="120" t="s">
        <v>324</v>
      </c>
      <c r="AJ4" s="120" t="s">
        <v>324</v>
      </c>
    </row>
    <row r="5" spans="1:42" s="129" customFormat="1" ht="15" customHeight="1">
      <c r="A5" s="125" t="s">
        <v>106</v>
      </c>
      <c r="B5" s="126"/>
      <c r="C5" s="127">
        <f>C11+C6</f>
        <v>0</v>
      </c>
      <c r="D5" s="127">
        <f>D11+D6</f>
        <v>0</v>
      </c>
      <c r="E5" s="127">
        <f aca="true" t="shared" si="3" ref="E5:AH5">E11+E6</f>
        <v>0</v>
      </c>
      <c r="F5" s="127">
        <f t="shared" si="3"/>
        <v>0</v>
      </c>
      <c r="G5" s="127">
        <f t="shared" si="3"/>
        <v>0</v>
      </c>
      <c r="H5" s="127">
        <f t="shared" si="3"/>
        <v>0</v>
      </c>
      <c r="I5" s="127">
        <f t="shared" si="3"/>
        <v>0</v>
      </c>
      <c r="J5" s="127">
        <f t="shared" si="3"/>
        <v>0</v>
      </c>
      <c r="K5" s="127">
        <f t="shared" si="3"/>
        <v>1575</v>
      </c>
      <c r="L5" s="127">
        <f t="shared" si="3"/>
        <v>4477.5</v>
      </c>
      <c r="M5" s="127">
        <f t="shared" si="3"/>
        <v>8654.5</v>
      </c>
      <c r="N5" s="127">
        <f t="shared" si="3"/>
        <v>8734.775005833333</v>
      </c>
      <c r="O5" s="127">
        <f t="shared" si="3"/>
        <v>8926.258980416667</v>
      </c>
      <c r="P5" s="127">
        <f t="shared" si="3"/>
        <v>8926.258980416667</v>
      </c>
      <c r="Q5" s="127">
        <f t="shared" si="3"/>
        <v>9135.021938000002</v>
      </c>
      <c r="R5" s="127">
        <f t="shared" si="3"/>
        <v>8931.089895583336</v>
      </c>
      <c r="S5" s="127">
        <f t="shared" si="3"/>
        <v>8773.09804579167</v>
      </c>
      <c r="T5" s="127">
        <f t="shared" si="3"/>
        <v>8645.660928812504</v>
      </c>
      <c r="U5" s="127">
        <f t="shared" si="3"/>
        <v>8496.787969958337</v>
      </c>
      <c r="V5" s="127">
        <f t="shared" si="3"/>
        <v>8067.215011104169</v>
      </c>
      <c r="W5" s="127">
        <f t="shared" si="3"/>
        <v>8037.642052250003</v>
      </c>
      <c r="X5" s="127">
        <f t="shared" si="3"/>
        <v>7908.069093395836</v>
      </c>
      <c r="Y5" s="127">
        <f t="shared" si="3"/>
        <v>7843.655627742817</v>
      </c>
      <c r="Z5" s="127">
        <f t="shared" si="3"/>
        <v>7777.503228131915</v>
      </c>
      <c r="AA5" s="127">
        <f t="shared" si="3"/>
        <v>7797.036417791615</v>
      </c>
      <c r="AB5" s="127">
        <f t="shared" si="3"/>
        <v>7979.469607451315</v>
      </c>
      <c r="AC5" s="127">
        <f t="shared" si="3"/>
        <v>7979.469607451315</v>
      </c>
      <c r="AD5" s="127">
        <f t="shared" si="3"/>
        <v>8262.303645367716</v>
      </c>
      <c r="AE5" s="127">
        <f t="shared" si="3"/>
        <v>9559.409554499147</v>
      </c>
      <c r="AF5" s="127">
        <f t="shared" si="3"/>
        <v>11007.107848632015</v>
      </c>
      <c r="AG5" s="127">
        <f t="shared" si="3"/>
        <v>12649.280156081393</v>
      </c>
      <c r="AH5" s="127">
        <f t="shared" si="3"/>
        <v>14451.468006428833</v>
      </c>
      <c r="AI5" s="127">
        <f>AI11+AI6</f>
        <v>16695.667438193206</v>
      </c>
      <c r="AJ5" s="127">
        <f>AJ11+AJ6</f>
        <v>20240.408967194806</v>
      </c>
      <c r="AK5" s="128"/>
      <c r="AL5" s="128"/>
      <c r="AM5" s="128"/>
      <c r="AN5" s="128"/>
      <c r="AO5" s="128"/>
      <c r="AP5" s="128"/>
    </row>
    <row r="6" spans="1:36" s="129" customFormat="1" ht="15" customHeight="1">
      <c r="A6" s="125" t="s">
        <v>107</v>
      </c>
      <c r="B6" s="126"/>
      <c r="C6" s="127">
        <f>SUM(C7:C10)</f>
        <v>0</v>
      </c>
      <c r="D6" s="127">
        <f>SUM(D7:D10)</f>
        <v>0</v>
      </c>
      <c r="E6" s="127">
        <f aca="true" t="shared" si="4" ref="E6:AH6">SUM(E7:E10)</f>
        <v>0</v>
      </c>
      <c r="F6" s="127">
        <f t="shared" si="4"/>
        <v>0</v>
      </c>
      <c r="G6" s="127">
        <f t="shared" si="4"/>
        <v>0</v>
      </c>
      <c r="H6" s="127">
        <f t="shared" si="4"/>
        <v>0</v>
      </c>
      <c r="I6" s="127">
        <f t="shared" si="4"/>
        <v>0</v>
      </c>
      <c r="J6" s="127">
        <f t="shared" si="4"/>
        <v>0</v>
      </c>
      <c r="K6" s="127">
        <f t="shared" si="4"/>
        <v>0</v>
      </c>
      <c r="L6" s="127">
        <f t="shared" si="4"/>
        <v>0</v>
      </c>
      <c r="M6" s="127">
        <f t="shared" si="4"/>
        <v>13.5</v>
      </c>
      <c r="N6" s="127">
        <f t="shared" si="4"/>
        <v>168.16042249999998</v>
      </c>
      <c r="O6" s="127">
        <f t="shared" si="4"/>
        <v>434.02981375</v>
      </c>
      <c r="P6" s="127">
        <f t="shared" si="4"/>
        <v>434.02981375</v>
      </c>
      <c r="Q6" s="127">
        <f t="shared" si="4"/>
        <v>717.1781880000001</v>
      </c>
      <c r="R6" s="127">
        <f t="shared" si="4"/>
        <v>587.6315622500001</v>
      </c>
      <c r="S6" s="127">
        <f t="shared" si="4"/>
        <v>504.02512912500015</v>
      </c>
      <c r="T6" s="127">
        <f t="shared" si="4"/>
        <v>450.97342881250006</v>
      </c>
      <c r="U6" s="127">
        <f t="shared" si="4"/>
        <v>376.4858866249999</v>
      </c>
      <c r="V6" s="127">
        <f t="shared" si="4"/>
        <v>21.29834443749996</v>
      </c>
      <c r="W6" s="127">
        <f t="shared" si="4"/>
        <v>66.11080225</v>
      </c>
      <c r="X6" s="127">
        <f t="shared" si="4"/>
        <v>10.923260062500045</v>
      </c>
      <c r="Y6" s="127">
        <f t="shared" si="4"/>
        <v>20.89521107614841</v>
      </c>
      <c r="Z6" s="127">
        <f t="shared" si="4"/>
        <v>29.1282281319135</v>
      </c>
      <c r="AA6" s="127">
        <f t="shared" si="4"/>
        <v>123.04683445828013</v>
      </c>
      <c r="AB6" s="127">
        <f t="shared" si="4"/>
        <v>379.8654407846467</v>
      </c>
      <c r="AC6" s="127">
        <f t="shared" si="4"/>
        <v>379.8654407846467</v>
      </c>
      <c r="AD6" s="127">
        <f t="shared" si="4"/>
        <v>1555.3244787010472</v>
      </c>
      <c r="AE6" s="127">
        <f t="shared" si="4"/>
        <v>3745.055387832479</v>
      </c>
      <c r="AF6" s="127">
        <f t="shared" si="4"/>
        <v>6085.378681965346</v>
      </c>
      <c r="AG6" s="127">
        <f t="shared" si="4"/>
        <v>8620.175989414725</v>
      </c>
      <c r="AH6" s="127">
        <f t="shared" si="4"/>
        <v>11314.988839762165</v>
      </c>
      <c r="AI6" s="127">
        <f>SUM(AI7:AI10)</f>
        <v>14451.813271526538</v>
      </c>
      <c r="AJ6" s="127">
        <f>SUM(AJ7:AJ10)</f>
        <v>18889.179800528138</v>
      </c>
    </row>
    <row r="7" spans="1:36" ht="15" customHeight="1">
      <c r="A7" s="130" t="s">
        <v>108</v>
      </c>
      <c r="B7" s="126"/>
      <c r="C7" s="131"/>
      <c r="D7" s="131">
        <f>'1-Ф3'!D39</f>
        <v>0</v>
      </c>
      <c r="E7" s="131">
        <f>'1-Ф3'!E39</f>
        <v>0</v>
      </c>
      <c r="F7" s="131">
        <f>'1-Ф3'!F39</f>
        <v>0</v>
      </c>
      <c r="G7" s="131">
        <f>'1-Ф3'!G39</f>
        <v>0</v>
      </c>
      <c r="H7" s="131">
        <f>'1-Ф3'!H39</f>
        <v>0</v>
      </c>
      <c r="I7" s="131">
        <f>'1-Ф3'!I39</f>
        <v>0</v>
      </c>
      <c r="J7" s="131">
        <f>'1-Ф3'!J39</f>
        <v>0</v>
      </c>
      <c r="K7" s="131">
        <f>'1-Ф3'!K39</f>
        <v>0</v>
      </c>
      <c r="L7" s="131">
        <f>'1-Ф3'!L39</f>
        <v>0</v>
      </c>
      <c r="M7" s="131">
        <f>'1-Ф3'!M39</f>
        <v>0</v>
      </c>
      <c r="N7" s="131">
        <f>'1-Ф3'!N39</f>
        <v>154.66042249999998</v>
      </c>
      <c r="O7" s="131">
        <f>'1-Ф3'!O39</f>
        <v>420.52981375</v>
      </c>
      <c r="P7" s="131">
        <f>'1-Ф3'!P39</f>
        <v>420.52981375</v>
      </c>
      <c r="Q7" s="131">
        <f>'1-Ф3'!Q39</f>
        <v>703.6781880000001</v>
      </c>
      <c r="R7" s="131">
        <f>'1-Ф3'!R39</f>
        <v>574.1315622500001</v>
      </c>
      <c r="S7" s="131">
        <f>'1-Ф3'!S39</f>
        <v>490.52512912500015</v>
      </c>
      <c r="T7" s="131">
        <f>'1-Ф3'!T39</f>
        <v>437.47342881250006</v>
      </c>
      <c r="U7" s="131">
        <f>'1-Ф3'!U39</f>
        <v>362.9858866249999</v>
      </c>
      <c r="V7" s="131">
        <f>'1-Ф3'!V39</f>
        <v>7.7983444374999635</v>
      </c>
      <c r="W7" s="131">
        <f>'1-Ф3'!W39</f>
        <v>52.610802250000006</v>
      </c>
      <c r="X7" s="131">
        <f>'1-Ф3'!X39</f>
        <v>-2.5767399374999513</v>
      </c>
      <c r="Y7" s="131">
        <f>'1-Ф3'!Y39</f>
        <v>7.3952110761484136</v>
      </c>
      <c r="Z7" s="131">
        <f>'1-Ф3'!Z39</f>
        <v>15.628228131913502</v>
      </c>
      <c r="AA7" s="131">
        <f>'1-Ф3'!AA39</f>
        <v>109.54683445828013</v>
      </c>
      <c r="AB7" s="131">
        <f>'1-Ф3'!AB39</f>
        <v>366.3654407846467</v>
      </c>
      <c r="AC7" s="131">
        <f>'1-Ф3'!AC39</f>
        <v>366.3654407846467</v>
      </c>
      <c r="AD7" s="131">
        <f>'1-Ф3'!AD39</f>
        <v>1541.8244787010472</v>
      </c>
      <c r="AE7" s="131">
        <f>'1-Ф3'!AE39</f>
        <v>3731.555387832479</v>
      </c>
      <c r="AF7" s="131">
        <f>'1-Ф3'!AF39</f>
        <v>6071.878681965346</v>
      </c>
      <c r="AG7" s="131">
        <f>'1-Ф3'!AG39</f>
        <v>8606.675989414725</v>
      </c>
      <c r="AH7" s="131">
        <f>'1-Ф3'!AH39</f>
        <v>11301.488839762165</v>
      </c>
      <c r="AI7" s="131">
        <f>'1-Ф3'!AI39</f>
        <v>14438.313271526538</v>
      </c>
      <c r="AJ7" s="131">
        <f>'1-Ф3'!AJ39</f>
        <v>18875.679800528138</v>
      </c>
    </row>
    <row r="8" spans="1:36" ht="15" customHeight="1">
      <c r="A8" s="130" t="s">
        <v>109</v>
      </c>
      <c r="B8" s="126"/>
      <c r="C8" s="131"/>
      <c r="D8" s="131">
        <f>C8+'2-ф2'!D5-'1-Ф3'!D9/Исх!$C$20</f>
        <v>0</v>
      </c>
      <c r="E8" s="131">
        <f>D8+'2-ф2'!E5-'1-Ф3'!E9/Исх!$C$20</f>
        <v>0</v>
      </c>
      <c r="F8" s="131">
        <f>E8+'2-ф2'!F5-'1-Ф3'!F9/Исх!$C$20</f>
        <v>0</v>
      </c>
      <c r="G8" s="131">
        <f>F8+'2-ф2'!G5-'1-Ф3'!G9/Исх!$C$20</f>
        <v>0</v>
      </c>
      <c r="H8" s="131">
        <f>G8+'2-ф2'!H5-'1-Ф3'!H9/Исх!$C$20</f>
        <v>0</v>
      </c>
      <c r="I8" s="131">
        <f>H8+'2-ф2'!I5-'1-Ф3'!I9/Исх!$C$20</f>
        <v>0</v>
      </c>
      <c r="J8" s="131">
        <f>I8+'2-ф2'!J5-'1-Ф3'!J9/Исх!$C$20</f>
        <v>0</v>
      </c>
      <c r="K8" s="131">
        <f>J8+'2-ф2'!K5-'1-Ф3'!K9/Исх!$C$20</f>
        <v>0</v>
      </c>
      <c r="L8" s="131">
        <f>K8+'2-ф2'!L5-'1-Ф3'!L9/Исх!$C$20</f>
        <v>0</v>
      </c>
      <c r="M8" s="131">
        <f>L8+'2-ф2'!M5-'1-Ф3'!M9/Исх!$C$20</f>
        <v>0</v>
      </c>
      <c r="N8" s="131">
        <f>M8+'2-ф2'!N5-'1-Ф3'!N9/Исх!$C$20</f>
        <v>0</v>
      </c>
      <c r="O8" s="131">
        <f>N8+'2-ф2'!O5-'1-Ф3'!O9/Исх!$C$20</f>
        <v>0</v>
      </c>
      <c r="P8" s="131">
        <f>O8</f>
        <v>0</v>
      </c>
      <c r="Q8" s="131">
        <f>P8+'2-ф2'!Q5-'1-Ф3'!Q9/Исх!$C$20</f>
        <v>0</v>
      </c>
      <c r="R8" s="131">
        <f>Q8+'2-ф2'!R5-'1-Ф3'!R9/Исх!$C$20</f>
        <v>0</v>
      </c>
      <c r="S8" s="131">
        <f>R8+'2-ф2'!S5-'1-Ф3'!S9/Исх!$C$20</f>
        <v>0</v>
      </c>
      <c r="T8" s="131">
        <f>S8+'2-ф2'!T5-'1-Ф3'!T9/Исх!$C$20</f>
        <v>0</v>
      </c>
      <c r="U8" s="131">
        <f>T8+'2-ф2'!U5-'1-Ф3'!U9/Исх!$C$20</f>
        <v>0</v>
      </c>
      <c r="V8" s="131">
        <f>U8+'2-ф2'!V5-'1-Ф3'!V9/Исх!$C$20</f>
        <v>0</v>
      </c>
      <c r="W8" s="131">
        <f>V8+'2-ф2'!W5-'1-Ф3'!W9/Исх!$C$20</f>
        <v>0</v>
      </c>
      <c r="X8" s="131">
        <f>W8+'2-ф2'!X5-'1-Ф3'!X9/Исх!$C$20</f>
        <v>0</v>
      </c>
      <c r="Y8" s="131">
        <f>X8+'2-ф2'!Y5-'1-Ф3'!Y9/Исх!$C$20</f>
        <v>0</v>
      </c>
      <c r="Z8" s="131">
        <f>Y8+'2-ф2'!Z5-'1-Ф3'!Z9/Исх!$C$20</f>
        <v>0</v>
      </c>
      <c r="AA8" s="131">
        <f>Z8+'2-ф2'!AA5-'1-Ф3'!AA9/Исх!$C$20</f>
        <v>0</v>
      </c>
      <c r="AB8" s="131">
        <f>AA8+'2-ф2'!AB5-'1-Ф3'!AB9/Исх!$C$20</f>
        <v>0</v>
      </c>
      <c r="AC8" s="131">
        <f>AB8</f>
        <v>0</v>
      </c>
      <c r="AD8" s="131">
        <f>AC8+'2-ф2'!AD5-'1-Ф3'!AD9/Исх!$C$20</f>
        <v>0</v>
      </c>
      <c r="AE8" s="131">
        <f>AD8+'2-ф2'!AE5-'1-Ф3'!AE9/Исх!$C$20</f>
        <v>0</v>
      </c>
      <c r="AF8" s="131">
        <f>AE8+'2-ф2'!AF5-'1-Ф3'!AF9/Исх!$C$20</f>
        <v>0</v>
      </c>
      <c r="AG8" s="131">
        <f>AF8+'2-ф2'!AG5-'1-Ф3'!AG9/Исх!$C$20</f>
        <v>0</v>
      </c>
      <c r="AH8" s="131">
        <f>AG8+'2-ф2'!AH5-'1-Ф3'!AH9/Исх!$C$20</f>
        <v>0</v>
      </c>
      <c r="AI8" s="131">
        <f>AH8+'2-ф2'!AI5-'1-Ф3'!AI9/Исх!$C$20</f>
        <v>0</v>
      </c>
      <c r="AJ8" s="131">
        <f>AI8+'2-ф2'!AJ5-'1-Ф3'!AJ9/Исх!$C$20</f>
        <v>0</v>
      </c>
    </row>
    <row r="9" spans="1:36" ht="12.75">
      <c r="A9" s="130" t="s">
        <v>110</v>
      </c>
      <c r="B9" s="126"/>
      <c r="C9" s="131"/>
      <c r="D9" s="131">
        <f>C9+'1-Ф3'!D16/Исх!$C$20-'2-ф2'!D13</f>
        <v>0</v>
      </c>
      <c r="E9" s="131">
        <f>D9+'1-Ф3'!E16/Исх!$C$20-'2-ф2'!E13</f>
        <v>0</v>
      </c>
      <c r="F9" s="131">
        <f>E9+'1-Ф3'!F16/Исх!$C$20-'2-ф2'!F13</f>
        <v>0</v>
      </c>
      <c r="G9" s="131">
        <f>F9+'1-Ф3'!G16/Исх!$C$20-'2-ф2'!G13</f>
        <v>0</v>
      </c>
      <c r="H9" s="131">
        <f>G9+'1-Ф3'!H16/Исх!$C$20-'2-ф2'!H13</f>
        <v>0</v>
      </c>
      <c r="I9" s="131">
        <f>H9+'1-Ф3'!I16/Исх!$C$20-'2-ф2'!I13</f>
        <v>0</v>
      </c>
      <c r="J9" s="131">
        <f>I9</f>
        <v>0</v>
      </c>
      <c r="K9" s="131">
        <f>J9</f>
        <v>0</v>
      </c>
      <c r="L9" s="131">
        <f>K9+'1-Ф3'!L16/Исх!$C$20-'2-ф2'!L13</f>
        <v>0</v>
      </c>
      <c r="M9" s="131">
        <f>L9+'1-Ф3'!M16/Исх!$C$20-'2-ф2'!M13</f>
        <v>13.5</v>
      </c>
      <c r="N9" s="131">
        <f>M9+'1-Ф3'!N16/Исх!$C$20-'2-ф2'!N13</f>
        <v>13.5</v>
      </c>
      <c r="O9" s="131">
        <f>N9+'1-Ф3'!O16/Исх!$C$20-'2-ф2'!O13</f>
        <v>13.5</v>
      </c>
      <c r="P9" s="131">
        <f>O9</f>
        <v>13.5</v>
      </c>
      <c r="Q9" s="131">
        <f>P9+'1-Ф3'!Q16/Исх!$C$20-'2-ф2'!Q13</f>
        <v>13.5</v>
      </c>
      <c r="R9" s="131">
        <f>Q9+'1-Ф3'!R16/Исх!$C$20-'2-ф2'!R13</f>
        <v>13.5</v>
      </c>
      <c r="S9" s="131">
        <f>R9+'1-Ф3'!S16/Исх!$C$20-'2-ф2'!S13</f>
        <v>13.5</v>
      </c>
      <c r="T9" s="131">
        <f>S9+'1-Ф3'!T16/Исх!$C$20-'2-ф2'!T13</f>
        <v>13.499999999999996</v>
      </c>
      <c r="U9" s="131">
        <f>T9+'1-Ф3'!U16/Исх!$C$20-'2-ф2'!U13</f>
        <v>13.499999999999996</v>
      </c>
      <c r="V9" s="131">
        <f>U9+'1-Ф3'!V16/Исх!$C$20-'2-ф2'!V13</f>
        <v>13.499999999999996</v>
      </c>
      <c r="W9" s="131">
        <f>V9+'1-Ф3'!W16/Исх!$C$20-'2-ф2'!W13</f>
        <v>13.499999999999996</v>
      </c>
      <c r="X9" s="131">
        <f>W9+'1-Ф3'!X16/Исх!$C$20-'2-ф2'!X13</f>
        <v>13.499999999999996</v>
      </c>
      <c r="Y9" s="131">
        <f>X9+'1-Ф3'!Y16/Исх!$C$20-'2-ф2'!Y13</f>
        <v>13.499999999999996</v>
      </c>
      <c r="Z9" s="131">
        <f>Y9+'1-Ф3'!Z16/Исх!$C$20-'2-ф2'!Z13</f>
        <v>13.499999999999996</v>
      </c>
      <c r="AA9" s="131">
        <f>Z9+'1-Ф3'!AA16/Исх!$C$20-'2-ф2'!AA13</f>
        <v>13.5</v>
      </c>
      <c r="AB9" s="131">
        <f>AA9+'1-Ф3'!AB16/Исх!$C$20-'2-ф2'!AB13</f>
        <v>13.5</v>
      </c>
      <c r="AC9" s="131">
        <f>AB9</f>
        <v>13.5</v>
      </c>
      <c r="AD9" s="131">
        <f>AC9+'1-Ф3'!AD16/Исх!$C$20-'2-ф2'!AD13</f>
        <v>13.5</v>
      </c>
      <c r="AE9" s="131">
        <f>AD9+'1-Ф3'!AE16/Исх!$C$20-'2-ф2'!AE13</f>
        <v>13.5</v>
      </c>
      <c r="AF9" s="131">
        <f>AE9+'1-Ф3'!AF16/Исх!$C$20-'2-ф2'!AF13</f>
        <v>13.5</v>
      </c>
      <c r="AG9" s="131">
        <f>AF9+'1-Ф3'!AG16/Исх!$C$20-'2-ф2'!AG13</f>
        <v>13.5</v>
      </c>
      <c r="AH9" s="131">
        <f>AG9+'1-Ф3'!AH16/Исх!$C$20-'2-ф2'!AH13</f>
        <v>13.5</v>
      </c>
      <c r="AI9" s="131">
        <f>AH9+'1-Ф3'!AI16/Исх!$C$20-'2-ф2'!AI13</f>
        <v>13.5</v>
      </c>
      <c r="AJ9" s="131">
        <f>AI9+'1-Ф3'!AJ16/Исх!$C$20-'2-ф2'!AJ13</f>
        <v>13.5</v>
      </c>
    </row>
    <row r="10" spans="1:36" ht="15" customHeight="1">
      <c r="A10" s="130" t="s">
        <v>111</v>
      </c>
      <c r="B10" s="126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>
        <f>O10</f>
        <v>0</v>
      </c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>
        <f>AB10</f>
        <v>0</v>
      </c>
      <c r="AD10" s="131"/>
      <c r="AE10" s="131"/>
      <c r="AF10" s="131"/>
      <c r="AG10" s="131"/>
      <c r="AH10" s="131"/>
      <c r="AI10" s="131"/>
      <c r="AJ10" s="131"/>
    </row>
    <row r="11" spans="1:36" ht="15" customHeight="1">
      <c r="A11" s="125" t="s">
        <v>112</v>
      </c>
      <c r="B11" s="126"/>
      <c r="C11" s="127">
        <f aca="true" t="shared" si="5" ref="C11:AH11">SUM(C12:C14)</f>
        <v>0</v>
      </c>
      <c r="D11" s="127">
        <f t="shared" si="5"/>
        <v>0</v>
      </c>
      <c r="E11" s="127">
        <f t="shared" si="5"/>
        <v>0</v>
      </c>
      <c r="F11" s="127">
        <f t="shared" si="5"/>
        <v>0</v>
      </c>
      <c r="G11" s="127">
        <f t="shared" si="5"/>
        <v>0</v>
      </c>
      <c r="H11" s="127">
        <f t="shared" si="5"/>
        <v>0</v>
      </c>
      <c r="I11" s="127">
        <f t="shared" si="5"/>
        <v>0</v>
      </c>
      <c r="J11" s="127">
        <f t="shared" si="5"/>
        <v>0</v>
      </c>
      <c r="K11" s="127">
        <f t="shared" si="5"/>
        <v>1575</v>
      </c>
      <c r="L11" s="127">
        <f t="shared" si="5"/>
        <v>4477.5</v>
      </c>
      <c r="M11" s="127">
        <f t="shared" si="5"/>
        <v>8641</v>
      </c>
      <c r="N11" s="127">
        <f t="shared" si="5"/>
        <v>8566.614583333334</v>
      </c>
      <c r="O11" s="127">
        <f t="shared" si="5"/>
        <v>8492.229166666668</v>
      </c>
      <c r="P11" s="127">
        <f t="shared" si="5"/>
        <v>8492.229166666668</v>
      </c>
      <c r="Q11" s="127">
        <f t="shared" si="5"/>
        <v>8417.843750000002</v>
      </c>
      <c r="R11" s="127">
        <f t="shared" si="5"/>
        <v>8343.458333333336</v>
      </c>
      <c r="S11" s="127">
        <f t="shared" si="5"/>
        <v>8269.07291666667</v>
      </c>
      <c r="T11" s="127">
        <f t="shared" si="5"/>
        <v>8194.687500000004</v>
      </c>
      <c r="U11" s="127">
        <f t="shared" si="5"/>
        <v>8120.302083333337</v>
      </c>
      <c r="V11" s="127">
        <f t="shared" si="5"/>
        <v>8045.91666666667</v>
      </c>
      <c r="W11" s="127">
        <f t="shared" si="5"/>
        <v>7971.531250000003</v>
      </c>
      <c r="X11" s="127">
        <f t="shared" si="5"/>
        <v>7897.145833333336</v>
      </c>
      <c r="Y11" s="127">
        <f t="shared" si="5"/>
        <v>7822.760416666669</v>
      </c>
      <c r="Z11" s="127">
        <f t="shared" si="5"/>
        <v>7748.375000000002</v>
      </c>
      <c r="AA11" s="127">
        <f t="shared" si="5"/>
        <v>7673.989583333335</v>
      </c>
      <c r="AB11" s="127">
        <f t="shared" si="5"/>
        <v>7599.604166666668</v>
      </c>
      <c r="AC11" s="127">
        <f t="shared" si="5"/>
        <v>7599.604166666668</v>
      </c>
      <c r="AD11" s="127">
        <f t="shared" si="5"/>
        <v>6706.979166666668</v>
      </c>
      <c r="AE11" s="127">
        <f t="shared" si="5"/>
        <v>5814.354166666668</v>
      </c>
      <c r="AF11" s="127">
        <f t="shared" si="5"/>
        <v>4921.729166666668</v>
      </c>
      <c r="AG11" s="127">
        <f t="shared" si="5"/>
        <v>4029.104166666668</v>
      </c>
      <c r="AH11" s="127">
        <f t="shared" si="5"/>
        <v>3136.479166666668</v>
      </c>
      <c r="AI11" s="127">
        <f>SUM(AI12:AI14)</f>
        <v>2243.854166666668</v>
      </c>
      <c r="AJ11" s="127">
        <f>SUM(AJ12:AJ14)</f>
        <v>1351.2291666666679</v>
      </c>
    </row>
    <row r="12" spans="1:36" ht="12.75">
      <c r="A12" s="130" t="s">
        <v>113</v>
      </c>
      <c r="B12" s="132"/>
      <c r="C12" s="131"/>
      <c r="D12" s="131"/>
      <c r="E12" s="131">
        <f>D12+'1-Ф3'!E25/Исх!$C$20-'2-ф2'!E17</f>
        <v>0</v>
      </c>
      <c r="F12" s="131">
        <f>E12+'1-Ф3'!F25/Исх!$C$20-'2-ф2'!F17</f>
        <v>0</v>
      </c>
      <c r="G12" s="131">
        <f>F12+'1-Ф3'!G25/Исх!$C$20-'2-ф2'!G17</f>
        <v>0</v>
      </c>
      <c r="H12" s="131">
        <f>G12+'1-Ф3'!H25/Исх!$C$20-'2-ф2'!H17</f>
        <v>0</v>
      </c>
      <c r="I12" s="131">
        <f>H12+'1-Ф3'!I25/Исх!$C$20-'2-ф2'!I17</f>
        <v>0</v>
      </c>
      <c r="J12" s="131"/>
      <c r="K12" s="131"/>
      <c r="L12" s="131"/>
      <c r="M12" s="131"/>
      <c r="N12" s="131">
        <f>M13+'1-Ф3'!N25/Исх!$C$20-'2-ф2'!N17</f>
        <v>8566.614583333334</v>
      </c>
      <c r="O12" s="131">
        <f>N12+'1-Ф3'!O25/Исх!$C$20-'2-ф2'!O17</f>
        <v>8492.229166666668</v>
      </c>
      <c r="P12" s="131">
        <f>O12</f>
        <v>8492.229166666668</v>
      </c>
      <c r="Q12" s="131">
        <f>P12+'1-Ф3'!Q25/Исх!$C$20-'2-ф2'!Q17</f>
        <v>8417.843750000002</v>
      </c>
      <c r="R12" s="131">
        <f>Q12+'1-Ф3'!R25/Исх!$C$20-'2-ф2'!R17</f>
        <v>8343.458333333336</v>
      </c>
      <c r="S12" s="131">
        <f>R12+'1-Ф3'!S25/Исх!$C$20-'2-ф2'!S17</f>
        <v>8269.07291666667</v>
      </c>
      <c r="T12" s="131">
        <f>S12+'1-Ф3'!T25/Исх!$C$20-'2-ф2'!T17</f>
        <v>8194.687500000004</v>
      </c>
      <c r="U12" s="131">
        <f>T12+'1-Ф3'!U25/Исх!$C$20-'2-ф2'!U17</f>
        <v>8120.302083333337</v>
      </c>
      <c r="V12" s="131">
        <f>U12+'1-Ф3'!V25/Исх!$C$20-'2-ф2'!V17</f>
        <v>8045.91666666667</v>
      </c>
      <c r="W12" s="131">
        <f>V12+'1-Ф3'!W25/Исх!$C$20-'2-ф2'!W17</f>
        <v>7971.531250000003</v>
      </c>
      <c r="X12" s="131">
        <f>W12+'1-Ф3'!X25/Исх!$C$20-'2-ф2'!X17</f>
        <v>7897.145833333336</v>
      </c>
      <c r="Y12" s="131">
        <f>X12+'1-Ф3'!Y25/Исх!$C$20-'2-ф2'!Y17</f>
        <v>7822.760416666669</v>
      </c>
      <c r="Z12" s="131">
        <f>Y12+'1-Ф3'!Z25/Исх!$C$20-'2-ф2'!Z17</f>
        <v>7748.375000000002</v>
      </c>
      <c r="AA12" s="131">
        <f>Z12+'1-Ф3'!AA25/Исх!$C$20-'2-ф2'!AA17</f>
        <v>7673.989583333335</v>
      </c>
      <c r="AB12" s="131">
        <f>AA12+'1-Ф3'!AB25/Исх!$C$20-'2-ф2'!AB17</f>
        <v>7599.604166666668</v>
      </c>
      <c r="AC12" s="131">
        <f>AB12</f>
        <v>7599.604166666668</v>
      </c>
      <c r="AD12" s="131">
        <f>AC12+'1-Ф3'!AD25/Исх!$C$20-'2-ф2'!AD17</f>
        <v>6706.979166666668</v>
      </c>
      <c r="AE12" s="131">
        <f>AD12+'1-Ф3'!AE25/Исх!$C$20-'2-ф2'!AE17</f>
        <v>5814.354166666668</v>
      </c>
      <c r="AF12" s="131">
        <f>AE12+'1-Ф3'!AF25/Исх!$C$20-'2-ф2'!AF17</f>
        <v>4921.729166666668</v>
      </c>
      <c r="AG12" s="131">
        <f>AF12+'1-Ф3'!AG25/Исх!$C$20-'2-ф2'!AG17</f>
        <v>4029.104166666668</v>
      </c>
      <c r="AH12" s="131">
        <f>AG12+'1-Ф3'!AH25/Исх!$C$20-'2-ф2'!AH17</f>
        <v>3136.479166666668</v>
      </c>
      <c r="AI12" s="131">
        <f>AH12+'1-Ф3'!AI25/Исх!$C$20-'2-ф2'!AI17</f>
        <v>2243.854166666668</v>
      </c>
      <c r="AJ12" s="131">
        <f>AI12+'1-Ф3'!AJ25/Исх!$C$20-'2-ф2'!AJ17</f>
        <v>1351.2291666666679</v>
      </c>
    </row>
    <row r="13" spans="1:36" ht="12.75">
      <c r="A13" s="130" t="s">
        <v>220</v>
      </c>
      <c r="B13" s="132"/>
      <c r="C13" s="131"/>
      <c r="D13" s="131">
        <f>C13+'1-Ф3'!D25/Исх!$C$20-'2-ф2'!D17</f>
        <v>0</v>
      </c>
      <c r="E13" s="131">
        <f>D13+'1-Ф3'!E25/Исх!$C$20-'2-ф2'!E17</f>
        <v>0</v>
      </c>
      <c r="F13" s="131">
        <f>E13+'1-Ф3'!F25/Исх!$C$20-'2-ф2'!F17</f>
        <v>0</v>
      </c>
      <c r="G13" s="131">
        <f>F13+'1-Ф3'!G25/Исх!$C$20-'2-ф2'!G17</f>
        <v>0</v>
      </c>
      <c r="H13" s="131">
        <f>G13+'1-Ф3'!H25/Исх!$C$20-'2-ф2'!H17</f>
        <v>0</v>
      </c>
      <c r="I13" s="131">
        <f>H13+'1-Ф3'!I25/Исх!$C$20-'2-ф2'!I17</f>
        <v>0</v>
      </c>
      <c r="J13" s="131">
        <f>I13+'1-Ф3'!J25/Исх!$C$20-'2-ф2'!J17</f>
        <v>0</v>
      </c>
      <c r="K13" s="131">
        <f>J13+'1-Ф3'!K25/Исх!$C$20-'2-ф2'!K17</f>
        <v>1575</v>
      </c>
      <c r="L13" s="131">
        <f>K13+'1-Ф3'!L25/Исх!$C$20-'2-ф2'!L17</f>
        <v>4477.5</v>
      </c>
      <c r="M13" s="131">
        <f>L13+'1-Ф3'!M25/Исх!$C$20-'2-ф2'!M17</f>
        <v>8641</v>
      </c>
      <c r="N13" s="131"/>
      <c r="O13" s="131"/>
      <c r="P13" s="131">
        <f>O13</f>
        <v>0</v>
      </c>
      <c r="Q13" s="131"/>
      <c r="R13" s="131"/>
      <c r="S13" s="131"/>
      <c r="T13" s="131"/>
      <c r="U13" s="131"/>
      <c r="V13" s="131"/>
      <c r="W13" s="131"/>
      <c r="X13" s="131"/>
      <c r="Y13" s="131"/>
      <c r="Z13" s="131">
        <f>Y13</f>
        <v>0</v>
      </c>
      <c r="AA13" s="131">
        <f>Z13</f>
        <v>0</v>
      </c>
      <c r="AB13" s="131">
        <f>AA13</f>
        <v>0</v>
      </c>
      <c r="AC13" s="131">
        <f>AB13</f>
        <v>0</v>
      </c>
      <c r="AD13" s="131">
        <f aca="true" t="shared" si="6" ref="AD13:AJ13">AC13</f>
        <v>0</v>
      </c>
      <c r="AE13" s="131">
        <f t="shared" si="6"/>
        <v>0</v>
      </c>
      <c r="AF13" s="131">
        <f t="shared" si="6"/>
        <v>0</v>
      </c>
      <c r="AG13" s="131">
        <f t="shared" si="6"/>
        <v>0</v>
      </c>
      <c r="AH13" s="131">
        <f t="shared" si="6"/>
        <v>0</v>
      </c>
      <c r="AI13" s="131">
        <f t="shared" si="6"/>
        <v>0</v>
      </c>
      <c r="AJ13" s="131">
        <f t="shared" si="6"/>
        <v>0</v>
      </c>
    </row>
    <row r="14" spans="1:36" ht="12.75">
      <c r="A14" s="130" t="s">
        <v>114</v>
      </c>
      <c r="B14" s="132"/>
      <c r="C14" s="131"/>
      <c r="D14" s="131">
        <f>IF('2-ф2'!D32&lt;0,-'2-ф2'!D32,0)</f>
        <v>0</v>
      </c>
      <c r="E14" s="131">
        <f>IF('2-ф2'!E32&lt;0,-'2-ф2'!E32,0)</f>
        <v>0</v>
      </c>
      <c r="F14" s="131">
        <f>IF('2-ф2'!F32&lt;0,-'2-ф2'!F32,0)</f>
        <v>0</v>
      </c>
      <c r="G14" s="131">
        <f>IF('2-ф2'!G32&lt;0,-'2-ф2'!G32,0)</f>
        <v>0</v>
      </c>
      <c r="H14" s="131">
        <f>IF('2-ф2'!H32&lt;0,-'2-ф2'!H32,0)</f>
        <v>0</v>
      </c>
      <c r="I14" s="131">
        <f>IF('2-ф2'!I32&lt;0,-'2-ф2'!I32,0)</f>
        <v>0</v>
      </c>
      <c r="J14" s="131">
        <f>IF('2-ф2'!J32&lt;0,-'2-ф2'!J32,0)</f>
        <v>0</v>
      </c>
      <c r="K14" s="131">
        <f>IF('2-ф2'!K32&lt;0,-'2-ф2'!K32,0)</f>
        <v>0</v>
      </c>
      <c r="L14" s="131">
        <f>IF('2-ф2'!L32&lt;0,-'2-ф2'!L32,0)</f>
        <v>0</v>
      </c>
      <c r="M14" s="131">
        <f>IF('2-ф2'!M32&lt;0,-'2-ф2'!M32,0)</f>
        <v>0</v>
      </c>
      <c r="N14" s="131">
        <f>IF('2-ф2'!N32&lt;0,-'2-ф2'!N32,0)</f>
        <v>0</v>
      </c>
      <c r="O14" s="131">
        <f>IF('2-ф2'!O32&lt;0,-'2-ф2'!O32,0)</f>
        <v>0</v>
      </c>
      <c r="P14" s="131">
        <f>O14</f>
        <v>0</v>
      </c>
      <c r="Q14" s="131">
        <f>IF('2-ф2'!Q32&lt;0,-'2-ф2'!Q32,0)</f>
        <v>0</v>
      </c>
      <c r="R14" s="131">
        <f>IF('2-ф2'!R32&lt;0,-'2-ф2'!R32,0)</f>
        <v>0</v>
      </c>
      <c r="S14" s="131">
        <f>IF('2-ф2'!S32&lt;0,-'2-ф2'!S32,0)</f>
        <v>0</v>
      </c>
      <c r="T14" s="131">
        <f>IF('2-ф2'!T32&lt;0,-'2-ф2'!T32,0)</f>
        <v>0</v>
      </c>
      <c r="U14" s="131">
        <f>IF('2-ф2'!U32&lt;0,-'2-ф2'!U32,0)</f>
        <v>0</v>
      </c>
      <c r="V14" s="131">
        <f>IF('2-ф2'!V32&lt;0,-'2-ф2'!V32,0)</f>
        <v>0</v>
      </c>
      <c r="W14" s="131">
        <f>IF('2-ф2'!W32&lt;0,-'2-ф2'!W32,0)</f>
        <v>0</v>
      </c>
      <c r="X14" s="131">
        <f>IF('2-ф2'!X32&lt;0,-'2-ф2'!X32,0)</f>
        <v>0</v>
      </c>
      <c r="Y14" s="131">
        <f>IF('2-ф2'!Y32&lt;0,-'2-ф2'!Y32,0)</f>
        <v>0</v>
      </c>
      <c r="Z14" s="131">
        <f>IF('2-ф2'!Z32&lt;0,-'2-ф2'!Z32,0)</f>
        <v>0</v>
      </c>
      <c r="AA14" s="131">
        <f>IF('2-ф2'!AA32&lt;0,-'2-ф2'!AA32,0)</f>
        <v>0</v>
      </c>
      <c r="AB14" s="131">
        <f>IF('2-ф2'!AB32&lt;0,-'2-ф2'!AB32,0)</f>
        <v>0</v>
      </c>
      <c r="AC14" s="131">
        <f>AB14</f>
        <v>0</v>
      </c>
      <c r="AD14" s="131">
        <f>IF('2-ф2'!AD32&lt;0,-'2-ф2'!AD32,0)</f>
        <v>0</v>
      </c>
      <c r="AE14" s="131">
        <f>IF('2-ф2'!AE32&lt;0,-'2-ф2'!AE32,0)</f>
        <v>0</v>
      </c>
      <c r="AF14" s="131">
        <f>IF('2-ф2'!AF32&lt;0,-'2-ф2'!AF32,0)</f>
        <v>0</v>
      </c>
      <c r="AG14" s="131">
        <f>IF('2-ф2'!AG32&lt;0,-'2-ф2'!AG32,0)</f>
        <v>0</v>
      </c>
      <c r="AH14" s="131">
        <f>IF('2-ф2'!AH32&lt;0,-'2-ф2'!AH32,0)</f>
        <v>0</v>
      </c>
      <c r="AI14" s="131">
        <f>IF('2-ф2'!AI32&lt;0,-'2-ф2'!AI32,0)</f>
        <v>0</v>
      </c>
      <c r="AJ14" s="131">
        <f>IF('2-ф2'!AJ32&lt;0,-'2-ф2'!AJ32,0)</f>
        <v>0</v>
      </c>
    </row>
    <row r="15" spans="1:184" ht="12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</row>
    <row r="16" spans="1:42" s="129" customFormat="1" ht="15" customHeight="1">
      <c r="A16" s="125" t="s">
        <v>115</v>
      </c>
      <c r="B16" s="126"/>
      <c r="C16" s="126">
        <f aca="true" t="shared" si="7" ref="C16:AH16">C21+C24+C17</f>
        <v>0</v>
      </c>
      <c r="D16" s="126">
        <f t="shared" si="7"/>
        <v>0</v>
      </c>
      <c r="E16" s="126">
        <f t="shared" si="7"/>
        <v>0</v>
      </c>
      <c r="F16" s="126">
        <f t="shared" si="7"/>
        <v>0</v>
      </c>
      <c r="G16" s="126">
        <f t="shared" si="7"/>
        <v>0</v>
      </c>
      <c r="H16" s="126">
        <f t="shared" si="7"/>
        <v>0</v>
      </c>
      <c r="I16" s="126">
        <f t="shared" si="7"/>
        <v>0</v>
      </c>
      <c r="J16" s="126">
        <f t="shared" si="7"/>
        <v>0</v>
      </c>
      <c r="K16" s="126">
        <f t="shared" si="7"/>
        <v>1575</v>
      </c>
      <c r="L16" s="126">
        <f t="shared" si="7"/>
        <v>4477.5</v>
      </c>
      <c r="M16" s="126">
        <f t="shared" si="7"/>
        <v>8654.5</v>
      </c>
      <c r="N16" s="126">
        <f t="shared" si="7"/>
        <v>8734.775005833333</v>
      </c>
      <c r="O16" s="126">
        <f t="shared" si="7"/>
        <v>8926.258980416666</v>
      </c>
      <c r="P16" s="126">
        <f t="shared" si="7"/>
        <v>8926.258980416666</v>
      </c>
      <c r="Q16" s="126">
        <f t="shared" si="7"/>
        <v>9135.021937999998</v>
      </c>
      <c r="R16" s="126">
        <f t="shared" si="7"/>
        <v>8931.089895583333</v>
      </c>
      <c r="S16" s="126">
        <f t="shared" si="7"/>
        <v>8773.098045791667</v>
      </c>
      <c r="T16" s="126">
        <f t="shared" si="7"/>
        <v>8645.6609288125</v>
      </c>
      <c r="U16" s="126">
        <f t="shared" si="7"/>
        <v>8496.787969958334</v>
      </c>
      <c r="V16" s="126">
        <f t="shared" si="7"/>
        <v>8067.2150111041665</v>
      </c>
      <c r="W16" s="126">
        <f t="shared" si="7"/>
        <v>8037.64205225</v>
      </c>
      <c r="X16" s="126">
        <f t="shared" si="7"/>
        <v>7908.069093395834</v>
      </c>
      <c r="Y16" s="126">
        <f t="shared" si="7"/>
        <v>7843.655627742814</v>
      </c>
      <c r="Z16" s="126">
        <f t="shared" si="7"/>
        <v>7777.503228131913</v>
      </c>
      <c r="AA16" s="126">
        <f t="shared" si="7"/>
        <v>7797.036417791614</v>
      </c>
      <c r="AB16" s="126">
        <f t="shared" si="7"/>
        <v>7979.469607451312</v>
      </c>
      <c r="AC16" s="126">
        <f t="shared" si="7"/>
        <v>7979.469607451312</v>
      </c>
      <c r="AD16" s="126">
        <f t="shared" si="7"/>
        <v>8262.303645367714</v>
      </c>
      <c r="AE16" s="126">
        <f t="shared" si="7"/>
        <v>9559.409554499147</v>
      </c>
      <c r="AF16" s="126">
        <f t="shared" si="7"/>
        <v>11007.107848632015</v>
      </c>
      <c r="AG16" s="126">
        <f t="shared" si="7"/>
        <v>12649.280156081393</v>
      </c>
      <c r="AH16" s="126">
        <f t="shared" si="7"/>
        <v>14451.468006428837</v>
      </c>
      <c r="AI16" s="126">
        <f>AI21+AI24+AI17</f>
        <v>16695.66743819321</v>
      </c>
      <c r="AJ16" s="126">
        <f>AJ21+AJ24+AJ17</f>
        <v>20240.40896719481</v>
      </c>
      <c r="AK16" s="128"/>
      <c r="AL16" s="128"/>
      <c r="AM16" s="128"/>
      <c r="AN16" s="128"/>
      <c r="AO16" s="128"/>
      <c r="AP16" s="128"/>
    </row>
    <row r="17" spans="1:36" ht="15" customHeight="1">
      <c r="A17" s="125" t="s">
        <v>116</v>
      </c>
      <c r="B17" s="126"/>
      <c r="C17" s="126">
        <f aca="true" t="shared" si="8" ref="C17:AH17">SUM(C18:C20)</f>
        <v>0</v>
      </c>
      <c r="D17" s="126">
        <f t="shared" si="8"/>
        <v>0</v>
      </c>
      <c r="E17" s="126">
        <f t="shared" si="8"/>
        <v>0</v>
      </c>
      <c r="F17" s="126">
        <f t="shared" si="8"/>
        <v>0</v>
      </c>
      <c r="G17" s="126">
        <f t="shared" si="8"/>
        <v>0</v>
      </c>
      <c r="H17" s="126">
        <f t="shared" si="8"/>
        <v>0</v>
      </c>
      <c r="I17" s="126">
        <f t="shared" si="8"/>
        <v>0</v>
      </c>
      <c r="J17" s="126">
        <f t="shared" si="8"/>
        <v>0</v>
      </c>
      <c r="K17" s="126">
        <f t="shared" si="8"/>
        <v>0</v>
      </c>
      <c r="L17" s="126">
        <f t="shared" si="8"/>
        <v>7.809375</v>
      </c>
      <c r="M17" s="126">
        <f t="shared" si="8"/>
        <v>30.0103125</v>
      </c>
      <c r="N17" s="126">
        <f t="shared" si="8"/>
        <v>72.92220833333333</v>
      </c>
      <c r="O17" s="126">
        <f t="shared" si="8"/>
        <v>115.83410416666666</v>
      </c>
      <c r="P17" s="126">
        <f t="shared" si="8"/>
        <v>115.83410416666666</v>
      </c>
      <c r="Q17" s="126">
        <f t="shared" si="8"/>
        <v>158.74599999999998</v>
      </c>
      <c r="R17" s="126">
        <f t="shared" si="8"/>
        <v>154.80164583333334</v>
      </c>
      <c r="S17" s="126">
        <f t="shared" si="8"/>
        <v>103.55479166666666</v>
      </c>
      <c r="T17" s="126">
        <f t="shared" si="8"/>
        <v>0</v>
      </c>
      <c r="U17" s="126">
        <f t="shared" si="8"/>
        <v>0</v>
      </c>
      <c r="V17" s="126">
        <f t="shared" si="8"/>
        <v>0</v>
      </c>
      <c r="W17" s="126">
        <f t="shared" si="8"/>
        <v>0</v>
      </c>
      <c r="X17" s="126">
        <f t="shared" si="8"/>
        <v>0</v>
      </c>
      <c r="Y17" s="126">
        <f t="shared" si="8"/>
        <v>0</v>
      </c>
      <c r="Z17" s="126">
        <f t="shared" si="8"/>
        <v>0</v>
      </c>
      <c r="AA17" s="126">
        <f t="shared" si="8"/>
        <v>0</v>
      </c>
      <c r="AB17" s="126">
        <f t="shared" si="8"/>
        <v>0</v>
      </c>
      <c r="AC17" s="126">
        <f t="shared" si="8"/>
        <v>0</v>
      </c>
      <c r="AD17" s="126">
        <f t="shared" si="8"/>
        <v>0</v>
      </c>
      <c r="AE17" s="126">
        <f t="shared" si="8"/>
        <v>0</v>
      </c>
      <c r="AF17" s="126">
        <f t="shared" si="8"/>
        <v>0</v>
      </c>
      <c r="AG17" s="126">
        <f t="shared" si="8"/>
        <v>0</v>
      </c>
      <c r="AH17" s="126">
        <f t="shared" si="8"/>
        <v>0</v>
      </c>
      <c r="AI17" s="126">
        <f>SUM(AI18:AI20)</f>
        <v>0</v>
      </c>
      <c r="AJ17" s="126">
        <f>SUM(AJ18:AJ20)</f>
        <v>0</v>
      </c>
    </row>
    <row r="18" spans="1:36" ht="12.75">
      <c r="A18" s="130" t="s">
        <v>117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>
        <f>O18</f>
        <v>0</v>
      </c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>
        <f>AB18</f>
        <v>0</v>
      </c>
      <c r="AD18" s="132"/>
      <c r="AE18" s="132"/>
      <c r="AF18" s="132"/>
      <c r="AG18" s="132"/>
      <c r="AH18" s="132"/>
      <c r="AI18" s="132"/>
      <c r="AJ18" s="132"/>
    </row>
    <row r="19" spans="1:36" ht="12.75">
      <c r="A19" s="130" t="s">
        <v>185</v>
      </c>
      <c r="B19" s="132"/>
      <c r="C19" s="132"/>
      <c r="D19" s="132">
        <f>C19+'2-ф2'!D18-'1-Ф3'!D19-кр!C8</f>
        <v>0</v>
      </c>
      <c r="E19" s="132">
        <f>D19+'2-ф2'!E18-'1-Ф3'!E19-кр!D8</f>
        <v>0</v>
      </c>
      <c r="F19" s="132">
        <f>E19+'2-ф2'!F18-'1-Ф3'!F19-кр!E8</f>
        <v>0</v>
      </c>
      <c r="G19" s="132">
        <f>F19+'2-ф2'!G18-'1-Ф3'!G19-кр!F8</f>
        <v>0</v>
      </c>
      <c r="H19" s="132">
        <f>G19+'2-ф2'!H18-'1-Ф3'!H19-кр!G8</f>
        <v>0</v>
      </c>
      <c r="I19" s="132">
        <f>H19+'2-ф2'!I18-'1-Ф3'!I19-кр!H8</f>
        <v>0</v>
      </c>
      <c r="J19" s="132">
        <f>I19+'2-ф2'!J18-'1-Ф3'!J19-кр!I8</f>
        <v>0</v>
      </c>
      <c r="K19" s="132">
        <f>J19+'2-ф2'!K18-'1-Ф3'!K19-кр!J8</f>
        <v>0</v>
      </c>
      <c r="L19" s="132">
        <f>K19+'2-ф2'!L18-'1-Ф3'!L19-кр!K8</f>
        <v>7.809375</v>
      </c>
      <c r="M19" s="132">
        <f>L19+'2-ф2'!M18-'1-Ф3'!M19-кр!L8</f>
        <v>30.0103125</v>
      </c>
      <c r="N19" s="132">
        <f>M19+'2-ф2'!N18-'1-Ф3'!N19-кр!M8</f>
        <v>72.92220833333333</v>
      </c>
      <c r="O19" s="132">
        <f>N19+'2-ф2'!O18-'1-Ф3'!O19-кр!N8</f>
        <v>115.83410416666666</v>
      </c>
      <c r="P19" s="132">
        <f>O19</f>
        <v>115.83410416666666</v>
      </c>
      <c r="Q19" s="132">
        <f>P19+'2-ф2'!Q18-'1-Ф3'!Q19-кр!P8</f>
        <v>158.74599999999998</v>
      </c>
      <c r="R19" s="132">
        <f>Q19+'2-ф2'!R18-'1-Ф3'!R19-кр!Q8</f>
        <v>154.80164583333334</v>
      </c>
      <c r="S19" s="132">
        <f>R19+'2-ф2'!S18-'1-Ф3'!S19-кр!R8</f>
        <v>103.55479166666666</v>
      </c>
      <c r="T19" s="132">
        <f>S19+'2-ф2'!T18-'1-Ф3'!T19-кр!S8</f>
        <v>0</v>
      </c>
      <c r="U19" s="132">
        <f>T19+'2-ф2'!U18-'1-Ф3'!U19-кр!T8</f>
        <v>0</v>
      </c>
      <c r="V19" s="132">
        <f>U19+'2-ф2'!V18-'1-Ф3'!V19-кр!U8</f>
        <v>0</v>
      </c>
      <c r="W19" s="132">
        <f>V19+'2-ф2'!W18-'1-Ф3'!W19-кр!V8</f>
        <v>0</v>
      </c>
      <c r="X19" s="132">
        <f>W19+'2-ф2'!X18-'1-Ф3'!X19-кр!W8</f>
        <v>0</v>
      </c>
      <c r="Y19" s="132">
        <f>X19+'2-ф2'!Y18-'1-Ф3'!Y19-кр!X8</f>
        <v>0</v>
      </c>
      <c r="Z19" s="132">
        <f>Y19+'2-ф2'!Z18-'1-Ф3'!Z19-кр!Y8</f>
        <v>0</v>
      </c>
      <c r="AA19" s="132">
        <f>Z19+'2-ф2'!AA18-'1-Ф3'!AA19-кр!Z8</f>
        <v>0</v>
      </c>
      <c r="AB19" s="132">
        <f>AA19+'2-ф2'!AB18-'1-Ф3'!AB19-кр!AA8</f>
        <v>0</v>
      </c>
      <c r="AC19" s="132">
        <f>AB19</f>
        <v>0</v>
      </c>
      <c r="AD19" s="132">
        <f>AC19+'2-ф2'!AD18-'1-Ф3'!AD19</f>
        <v>0</v>
      </c>
      <c r="AE19" s="132">
        <f>AD19+'2-ф2'!AE18-'1-Ф3'!AE19</f>
        <v>0</v>
      </c>
      <c r="AF19" s="132">
        <f>AE19+'2-ф2'!AF18-'1-Ф3'!AF19</f>
        <v>0</v>
      </c>
      <c r="AG19" s="132">
        <f>AF19+'2-ф2'!AG18-'1-Ф3'!AG19</f>
        <v>0</v>
      </c>
      <c r="AH19" s="132">
        <f>AG19+'2-ф2'!AH18-'1-Ф3'!AH19</f>
        <v>0</v>
      </c>
      <c r="AI19" s="132">
        <f>AH19+'2-ф2'!AI18-'1-Ф3'!AI19</f>
        <v>0</v>
      </c>
      <c r="AJ19" s="132">
        <f>AI19+'2-ф2'!AJ18-'1-Ф3'!AJ19</f>
        <v>0</v>
      </c>
    </row>
    <row r="20" spans="1:36" ht="12.75">
      <c r="A20" s="130" t="s">
        <v>186</v>
      </c>
      <c r="B20" s="132"/>
      <c r="C20" s="132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32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32">
        <f>AB20</f>
        <v>0</v>
      </c>
      <c r="AD20" s="132"/>
      <c r="AE20" s="132"/>
      <c r="AF20" s="132"/>
      <c r="AG20" s="132"/>
      <c r="AH20" s="132"/>
      <c r="AI20" s="132"/>
      <c r="AJ20" s="132"/>
    </row>
    <row r="21" spans="1:36" ht="15" customHeight="1">
      <c r="A21" s="125" t="s">
        <v>118</v>
      </c>
      <c r="B21" s="126"/>
      <c r="C21" s="126">
        <f aca="true" t="shared" si="9" ref="C21:AH21">SUM(C22:C23)</f>
        <v>0</v>
      </c>
      <c r="D21" s="126">
        <f t="shared" si="9"/>
        <v>0</v>
      </c>
      <c r="E21" s="126">
        <f t="shared" si="9"/>
        <v>0</v>
      </c>
      <c r="F21" s="126">
        <f t="shared" si="9"/>
        <v>0</v>
      </c>
      <c r="G21" s="126">
        <f t="shared" si="9"/>
        <v>0</v>
      </c>
      <c r="H21" s="126">
        <f t="shared" si="9"/>
        <v>0</v>
      </c>
      <c r="I21" s="126">
        <f t="shared" si="9"/>
        <v>0</v>
      </c>
      <c r="J21" s="126">
        <f t="shared" si="9"/>
        <v>0</v>
      </c>
      <c r="K21" s="126">
        <f t="shared" si="9"/>
        <v>1338.75</v>
      </c>
      <c r="L21" s="126">
        <f t="shared" si="9"/>
        <v>3805.875</v>
      </c>
      <c r="M21" s="126">
        <f t="shared" si="9"/>
        <v>7356.325</v>
      </c>
      <c r="N21" s="126">
        <f t="shared" si="9"/>
        <v>7356.325</v>
      </c>
      <c r="O21" s="126">
        <f t="shared" si="9"/>
        <v>7356.325</v>
      </c>
      <c r="P21" s="126">
        <f t="shared" si="9"/>
        <v>7356.325</v>
      </c>
      <c r="Q21" s="126">
        <f t="shared" si="9"/>
        <v>7356.325</v>
      </c>
      <c r="R21" s="126">
        <f t="shared" si="9"/>
        <v>7403.18125</v>
      </c>
      <c r="S21" s="126">
        <f t="shared" si="9"/>
        <v>7489.530624999999</v>
      </c>
      <c r="T21" s="126">
        <f t="shared" si="9"/>
        <v>7613.796375</v>
      </c>
      <c r="U21" s="126">
        <f t="shared" si="9"/>
        <v>7613.796375</v>
      </c>
      <c r="V21" s="126">
        <f t="shared" si="9"/>
        <v>7613.796375</v>
      </c>
      <c r="W21" s="126">
        <f t="shared" si="9"/>
        <v>7613.796375</v>
      </c>
      <c r="X21" s="126">
        <f t="shared" si="9"/>
        <v>7613.796375</v>
      </c>
      <c r="Y21" s="126">
        <f t="shared" si="9"/>
        <v>7598.255868201148</v>
      </c>
      <c r="Z21" s="126">
        <f t="shared" si="9"/>
        <v>7553.9857744880865</v>
      </c>
      <c r="AA21" s="126">
        <f t="shared" si="9"/>
        <v>7468.243027832301</v>
      </c>
      <c r="AB21" s="126">
        <f t="shared" si="9"/>
        <v>7382.000115154355</v>
      </c>
      <c r="AC21" s="126">
        <f t="shared" si="9"/>
        <v>7382.000115154355</v>
      </c>
      <c r="AD21" s="126">
        <f t="shared" si="9"/>
        <v>6306.992957035147</v>
      </c>
      <c r="AE21" s="126">
        <f t="shared" si="9"/>
        <v>5154.273444534469</v>
      </c>
      <c r="AF21" s="126">
        <f t="shared" si="9"/>
        <v>3918.2237452705554</v>
      </c>
      <c r="AG21" s="126">
        <f t="shared" si="9"/>
        <v>2592.8199133045273</v>
      </c>
      <c r="AH21" s="126">
        <f t="shared" si="9"/>
        <v>1171.6025311585108</v>
      </c>
      <c r="AI21" s="126">
        <f>SUM(AI22:AI23)</f>
        <v>3.3075764349632664E-11</v>
      </c>
      <c r="AJ21" s="126">
        <f>SUM(AJ22:AJ23)</f>
        <v>3.3075764349632664E-11</v>
      </c>
    </row>
    <row r="22" spans="1:36" ht="12.75">
      <c r="A22" s="130" t="s">
        <v>117</v>
      </c>
      <c r="B22" s="132"/>
      <c r="C22" s="126"/>
      <c r="D22" s="132">
        <f>кр!C12</f>
        <v>0</v>
      </c>
      <c r="E22" s="132">
        <f>кр!D12</f>
        <v>0</v>
      </c>
      <c r="F22" s="132">
        <f>кр!E12</f>
        <v>0</v>
      </c>
      <c r="G22" s="132">
        <f>кр!F12</f>
        <v>0</v>
      </c>
      <c r="H22" s="132">
        <f>кр!G12</f>
        <v>0</v>
      </c>
      <c r="I22" s="132">
        <f>кр!H12</f>
        <v>0</v>
      </c>
      <c r="J22" s="132">
        <f>кр!I12</f>
        <v>0</v>
      </c>
      <c r="K22" s="132">
        <f>кр!J12</f>
        <v>1338.75</v>
      </c>
      <c r="L22" s="132">
        <f>кр!K12</f>
        <v>3805.875</v>
      </c>
      <c r="M22" s="132">
        <f>кр!L12</f>
        <v>7356.325</v>
      </c>
      <c r="N22" s="132">
        <f>кр!M12</f>
        <v>7356.325</v>
      </c>
      <c r="O22" s="132">
        <f>кр!N12</f>
        <v>7356.325</v>
      </c>
      <c r="P22" s="132">
        <f>кр!O12</f>
        <v>7356.325</v>
      </c>
      <c r="Q22" s="132">
        <f>кр!P12</f>
        <v>7356.325</v>
      </c>
      <c r="R22" s="132">
        <f>кр!Q12</f>
        <v>7403.18125</v>
      </c>
      <c r="S22" s="132">
        <f>кр!R12</f>
        <v>7489.530624999999</v>
      </c>
      <c r="T22" s="132">
        <f>кр!S12</f>
        <v>7613.796375</v>
      </c>
      <c r="U22" s="132">
        <f>кр!T12</f>
        <v>7613.796375</v>
      </c>
      <c r="V22" s="132">
        <f>кр!U12</f>
        <v>7613.796375</v>
      </c>
      <c r="W22" s="132">
        <f>кр!V12</f>
        <v>7613.796375</v>
      </c>
      <c r="X22" s="132">
        <f>кр!W12</f>
        <v>7613.796375</v>
      </c>
      <c r="Y22" s="132">
        <f>кр!X12</f>
        <v>7598.255868201148</v>
      </c>
      <c r="Z22" s="132">
        <f>кр!Y12</f>
        <v>7553.9857744880865</v>
      </c>
      <c r="AA22" s="132">
        <f>кр!Z12</f>
        <v>7468.243027832301</v>
      </c>
      <c r="AB22" s="132">
        <f>кр!AA12</f>
        <v>7382.000115154355</v>
      </c>
      <c r="AC22" s="132">
        <f>кр!AB12</f>
        <v>7382.000115154355</v>
      </c>
      <c r="AD22" s="132">
        <f>кр!AO12</f>
        <v>6306.992957035147</v>
      </c>
      <c r="AE22" s="132">
        <f>кр!BB12</f>
        <v>5154.273444534469</v>
      </c>
      <c r="AF22" s="132">
        <f>кр!BO12</f>
        <v>3918.2237452705554</v>
      </c>
      <c r="AG22" s="132">
        <f>кр!CB12</f>
        <v>2592.8199133045273</v>
      </c>
      <c r="AH22" s="132">
        <f>кр!CO12</f>
        <v>1171.6025311585108</v>
      </c>
      <c r="AI22" s="132">
        <f>кр!DB12</f>
        <v>3.3075764349632664E-11</v>
      </c>
      <c r="AJ22" s="132">
        <f>кр!DO12</f>
        <v>3.3075764349632664E-11</v>
      </c>
    </row>
    <row r="23" spans="1:36" ht="15" customHeight="1" hidden="1">
      <c r="A23" s="130" t="s">
        <v>119</v>
      </c>
      <c r="B23" s="132"/>
      <c r="C23" s="132"/>
      <c r="D23" s="132">
        <f>C23</f>
        <v>0</v>
      </c>
      <c r="E23" s="132">
        <f>D23</f>
        <v>0</v>
      </c>
      <c r="F23" s="132">
        <f aca="true" t="shared" si="10" ref="F23:AJ23">E23</f>
        <v>0</v>
      </c>
      <c r="G23" s="132">
        <f t="shared" si="10"/>
        <v>0</v>
      </c>
      <c r="H23" s="132">
        <f t="shared" si="10"/>
        <v>0</v>
      </c>
      <c r="I23" s="132">
        <f t="shared" si="10"/>
        <v>0</v>
      </c>
      <c r="J23" s="132">
        <f t="shared" si="10"/>
        <v>0</v>
      </c>
      <c r="K23" s="132">
        <f t="shared" si="10"/>
        <v>0</v>
      </c>
      <c r="L23" s="132">
        <f t="shared" si="10"/>
        <v>0</v>
      </c>
      <c r="M23" s="132">
        <f t="shared" si="10"/>
        <v>0</v>
      </c>
      <c r="N23" s="132">
        <f t="shared" si="10"/>
        <v>0</v>
      </c>
      <c r="O23" s="132">
        <f t="shared" si="10"/>
        <v>0</v>
      </c>
      <c r="P23" s="132">
        <f t="shared" si="10"/>
        <v>0</v>
      </c>
      <c r="Q23" s="132">
        <f t="shared" si="10"/>
        <v>0</v>
      </c>
      <c r="R23" s="132">
        <f t="shared" si="10"/>
        <v>0</v>
      </c>
      <c r="S23" s="132">
        <f t="shared" si="10"/>
        <v>0</v>
      </c>
      <c r="T23" s="132">
        <f t="shared" si="10"/>
        <v>0</v>
      </c>
      <c r="U23" s="132">
        <f t="shared" si="10"/>
        <v>0</v>
      </c>
      <c r="V23" s="132">
        <f t="shared" si="10"/>
        <v>0</v>
      </c>
      <c r="W23" s="132">
        <f t="shared" si="10"/>
        <v>0</v>
      </c>
      <c r="X23" s="132">
        <f t="shared" si="10"/>
        <v>0</v>
      </c>
      <c r="Y23" s="132">
        <f t="shared" si="10"/>
        <v>0</v>
      </c>
      <c r="Z23" s="132">
        <f t="shared" si="10"/>
        <v>0</v>
      </c>
      <c r="AA23" s="132">
        <f t="shared" si="10"/>
        <v>0</v>
      </c>
      <c r="AB23" s="132">
        <f t="shared" si="10"/>
        <v>0</v>
      </c>
      <c r="AC23" s="126">
        <f>AB23</f>
        <v>0</v>
      </c>
      <c r="AD23" s="132">
        <f t="shared" si="10"/>
        <v>0</v>
      </c>
      <c r="AE23" s="132">
        <f t="shared" si="10"/>
        <v>0</v>
      </c>
      <c r="AF23" s="132">
        <f t="shared" si="10"/>
        <v>0</v>
      </c>
      <c r="AG23" s="132">
        <f t="shared" si="10"/>
        <v>0</v>
      </c>
      <c r="AH23" s="132">
        <f t="shared" si="10"/>
        <v>0</v>
      </c>
      <c r="AI23" s="132">
        <f t="shared" si="10"/>
        <v>0</v>
      </c>
      <c r="AJ23" s="132">
        <f t="shared" si="10"/>
        <v>0</v>
      </c>
    </row>
    <row r="24" spans="1:36" s="129" customFormat="1" ht="15" customHeight="1">
      <c r="A24" s="125" t="s">
        <v>120</v>
      </c>
      <c r="B24" s="126"/>
      <c r="C24" s="126">
        <f aca="true" t="shared" si="11" ref="C24:AH24">SUM(C25:C26)</f>
        <v>0</v>
      </c>
      <c r="D24" s="126">
        <f t="shared" si="11"/>
        <v>0</v>
      </c>
      <c r="E24" s="126">
        <f t="shared" si="11"/>
        <v>0</v>
      </c>
      <c r="F24" s="126">
        <f t="shared" si="11"/>
        <v>0</v>
      </c>
      <c r="G24" s="126">
        <f t="shared" si="11"/>
        <v>0</v>
      </c>
      <c r="H24" s="126">
        <f t="shared" si="11"/>
        <v>0</v>
      </c>
      <c r="I24" s="126">
        <f t="shared" si="11"/>
        <v>0</v>
      </c>
      <c r="J24" s="126">
        <f t="shared" si="11"/>
        <v>0</v>
      </c>
      <c r="K24" s="126">
        <f t="shared" si="11"/>
        <v>236.25</v>
      </c>
      <c r="L24" s="126">
        <f t="shared" si="11"/>
        <v>663.815625</v>
      </c>
      <c r="M24" s="126">
        <f t="shared" si="11"/>
        <v>1268.1646875</v>
      </c>
      <c r="N24" s="126">
        <f t="shared" si="11"/>
        <v>1305.5277975</v>
      </c>
      <c r="O24" s="126">
        <f t="shared" si="11"/>
        <v>1454.09987625</v>
      </c>
      <c r="P24" s="126">
        <f t="shared" si="11"/>
        <v>1454.09987625</v>
      </c>
      <c r="Q24" s="126">
        <f t="shared" si="11"/>
        <v>1619.950938</v>
      </c>
      <c r="R24" s="126">
        <f t="shared" si="11"/>
        <v>1373.10699975</v>
      </c>
      <c r="S24" s="126">
        <f t="shared" si="11"/>
        <v>1180.012629125</v>
      </c>
      <c r="T24" s="126">
        <f t="shared" si="11"/>
        <v>1031.8645538125002</v>
      </c>
      <c r="U24" s="126">
        <f t="shared" si="11"/>
        <v>882.9915949583334</v>
      </c>
      <c r="V24" s="126">
        <f t="shared" si="11"/>
        <v>453.4186361041668</v>
      </c>
      <c r="W24" s="126">
        <f t="shared" si="11"/>
        <v>423.8456772500001</v>
      </c>
      <c r="X24" s="126">
        <f t="shared" si="11"/>
        <v>294.27271839583364</v>
      </c>
      <c r="Y24" s="126">
        <f t="shared" si="11"/>
        <v>245.39975954166675</v>
      </c>
      <c r="Z24" s="126">
        <f t="shared" si="11"/>
        <v>223.51745364382668</v>
      </c>
      <c r="AA24" s="126">
        <f t="shared" si="11"/>
        <v>328.7933899593131</v>
      </c>
      <c r="AB24" s="126">
        <f t="shared" si="11"/>
        <v>597.4694922969579</v>
      </c>
      <c r="AC24" s="126">
        <f t="shared" si="11"/>
        <v>597.4694922969579</v>
      </c>
      <c r="AD24" s="126">
        <f t="shared" si="11"/>
        <v>1955.3106883325677</v>
      </c>
      <c r="AE24" s="126">
        <f t="shared" si="11"/>
        <v>4405.136109964677</v>
      </c>
      <c r="AF24" s="126">
        <f t="shared" si="11"/>
        <v>7088.88410336146</v>
      </c>
      <c r="AG24" s="126">
        <f t="shared" si="11"/>
        <v>10056.460242776866</v>
      </c>
      <c r="AH24" s="126">
        <f t="shared" si="11"/>
        <v>13279.865475270326</v>
      </c>
      <c r="AI24" s="126">
        <f>SUM(AI25:AI26)</f>
        <v>16695.667438193177</v>
      </c>
      <c r="AJ24" s="126">
        <f>SUM(AJ25:AJ26)</f>
        <v>20240.408967194777</v>
      </c>
    </row>
    <row r="25" spans="1:36" ht="15" customHeight="1">
      <c r="A25" s="130" t="s">
        <v>121</v>
      </c>
      <c r="B25" s="126"/>
      <c r="C25" s="132"/>
      <c r="D25" s="132">
        <f>C25+'1-Ф3'!D32</f>
        <v>0</v>
      </c>
      <c r="E25" s="132">
        <f>D25+'1-Ф3'!E32</f>
        <v>0</v>
      </c>
      <c r="F25" s="132">
        <f>E25+'1-Ф3'!F32</f>
        <v>0</v>
      </c>
      <c r="G25" s="132">
        <f>F25+'1-Ф3'!G32</f>
        <v>0</v>
      </c>
      <c r="H25" s="132">
        <f>G25+'1-Ф3'!H32</f>
        <v>0</v>
      </c>
      <c r="I25" s="132">
        <f>H25+'1-Ф3'!I32</f>
        <v>0</v>
      </c>
      <c r="J25" s="132">
        <f>I25+'1-Ф3'!J32</f>
        <v>0</v>
      </c>
      <c r="K25" s="132">
        <f>J25+'1-Ф3'!K32</f>
        <v>236.25</v>
      </c>
      <c r="L25" s="132">
        <f>K25+'1-Ф3'!L32</f>
        <v>671.625</v>
      </c>
      <c r="M25" s="132">
        <f>L25+'1-Ф3'!M32</f>
        <v>1298.175</v>
      </c>
      <c r="N25" s="132">
        <f>M25+'1-Ф3'!N32</f>
        <v>1298.175</v>
      </c>
      <c r="O25" s="132">
        <f>N25+'1-Ф3'!O32</f>
        <v>1298.175</v>
      </c>
      <c r="P25" s="132">
        <f>O25</f>
        <v>1298.175</v>
      </c>
      <c r="Q25" s="132">
        <f>P25+'1-Ф3'!Q32</f>
        <v>1298.175</v>
      </c>
      <c r="R25" s="132">
        <f>Q25+'1-Ф3'!R32</f>
        <v>1298.175</v>
      </c>
      <c r="S25" s="132">
        <f>R25+'1-Ф3'!S32</f>
        <v>1298.175</v>
      </c>
      <c r="T25" s="132">
        <f>S25+'1-Ф3'!T32</f>
        <v>1298.175</v>
      </c>
      <c r="U25" s="132">
        <f>T25+'1-Ф3'!U32</f>
        <v>1298.175</v>
      </c>
      <c r="V25" s="132">
        <f>U25+'1-Ф3'!V32</f>
        <v>1398.175</v>
      </c>
      <c r="W25" s="132">
        <f>V25+'1-Ф3'!W32</f>
        <v>1898.175</v>
      </c>
      <c r="X25" s="132">
        <f>W25+'1-Ф3'!X32</f>
        <v>2298.175</v>
      </c>
      <c r="Y25" s="132">
        <f>X25+'1-Ф3'!Y32</f>
        <v>2398.175</v>
      </c>
      <c r="Z25" s="132">
        <f>Y25+'1-Ф3'!Z32</f>
        <v>2398.175</v>
      </c>
      <c r="AA25" s="132">
        <f>Z25+'1-Ф3'!AA32</f>
        <v>2398.175</v>
      </c>
      <c r="AB25" s="132">
        <f>AA25+'1-Ф3'!AB32</f>
        <v>2398.175</v>
      </c>
      <c r="AC25" s="132">
        <f>AB25</f>
        <v>2398.175</v>
      </c>
      <c r="AD25" s="132">
        <f>AC25+'1-Ф3'!AD32</f>
        <v>2398.175</v>
      </c>
      <c r="AE25" s="132">
        <f>AD25+'1-Ф3'!AE32</f>
        <v>2398.175</v>
      </c>
      <c r="AF25" s="132">
        <f>AE25+'1-Ф3'!AF32</f>
        <v>2398.175</v>
      </c>
      <c r="AG25" s="132">
        <f>AF25+'1-Ф3'!AG32</f>
        <v>2398.175</v>
      </c>
      <c r="AH25" s="132">
        <f>AG25+'1-Ф3'!AH32</f>
        <v>2398.175</v>
      </c>
      <c r="AI25" s="132">
        <f>AH25+'1-Ф3'!AI32</f>
        <v>2398.175</v>
      </c>
      <c r="AJ25" s="132">
        <f>AI25+'1-Ф3'!AJ32</f>
        <v>2398.175</v>
      </c>
    </row>
    <row r="26" spans="1:36" ht="15" customHeight="1">
      <c r="A26" s="130" t="s">
        <v>122</v>
      </c>
      <c r="B26" s="126"/>
      <c r="C26" s="132"/>
      <c r="D26" s="132">
        <f>'2-ф2'!D22</f>
        <v>0</v>
      </c>
      <c r="E26" s="132">
        <f>'2-ф2'!E22</f>
        <v>0</v>
      </c>
      <c r="F26" s="132">
        <f>'2-ф2'!F22</f>
        <v>0</v>
      </c>
      <c r="G26" s="132">
        <f>'2-ф2'!G22</f>
        <v>0</v>
      </c>
      <c r="H26" s="132">
        <f>'2-ф2'!H22</f>
        <v>0</v>
      </c>
      <c r="I26" s="132">
        <f>'2-ф2'!I22</f>
        <v>0</v>
      </c>
      <c r="J26" s="132">
        <f>'2-ф2'!J22</f>
        <v>0</v>
      </c>
      <c r="K26" s="132">
        <f>'2-ф2'!K22</f>
        <v>0</v>
      </c>
      <c r="L26" s="132">
        <f>'2-ф2'!L22</f>
        <v>-7.809375</v>
      </c>
      <c r="M26" s="132">
        <f>'2-ф2'!M22</f>
        <v>-30.0103125</v>
      </c>
      <c r="N26" s="132">
        <f>'2-ф2'!N22</f>
        <v>7.352797499999998</v>
      </c>
      <c r="O26" s="132">
        <f>'2-ф2'!O22</f>
        <v>155.92487625000007</v>
      </c>
      <c r="P26" s="132">
        <f>'2-ф2'!P22</f>
        <v>155.92487625000007</v>
      </c>
      <c r="Q26" s="132">
        <f>'2-ф2'!Q22</f>
        <v>321.77593800000005</v>
      </c>
      <c r="R26" s="132">
        <f>'2-ф2'!R22</f>
        <v>74.9319997500001</v>
      </c>
      <c r="S26" s="132">
        <f>'2-ф2'!S22</f>
        <v>-118.1623708749998</v>
      </c>
      <c r="T26" s="132">
        <f>'2-ф2'!T22</f>
        <v>-266.31044618749985</v>
      </c>
      <c r="U26" s="132">
        <f>'2-ф2'!U22</f>
        <v>-415.18340504166656</v>
      </c>
      <c r="V26" s="132">
        <f>'2-ф2'!V22</f>
        <v>-944.7563638958331</v>
      </c>
      <c r="W26" s="132">
        <f>'2-ф2'!W22</f>
        <v>-1474.3293227499998</v>
      </c>
      <c r="X26" s="132">
        <f>'2-ф2'!X22</f>
        <v>-2003.9022816041665</v>
      </c>
      <c r="Y26" s="132">
        <f>'2-ф2'!Y22</f>
        <v>-2152.7752404583334</v>
      </c>
      <c r="Z26" s="132">
        <f>'2-ф2'!Z22</f>
        <v>-2174.6575463561735</v>
      </c>
      <c r="AA26" s="132">
        <f>'2-ф2'!AA22</f>
        <v>-2069.381610040687</v>
      </c>
      <c r="AB26" s="132">
        <f>'2-ф2'!AB22</f>
        <v>-1800.7055077030423</v>
      </c>
      <c r="AC26" s="132">
        <f>'2-ф2'!AC22</f>
        <v>-1800.7055077030423</v>
      </c>
      <c r="AD26" s="132">
        <f>'2-ф2'!AD22</f>
        <v>-442.8643116674325</v>
      </c>
      <c r="AE26" s="132">
        <f>'2-ф2'!AE22</f>
        <v>2006.9611099646772</v>
      </c>
      <c r="AF26" s="132">
        <f>'2-ф2'!AF22</f>
        <v>4690.70910336146</v>
      </c>
      <c r="AG26" s="132">
        <f>'2-ф2'!AG22</f>
        <v>7658.285242776867</v>
      </c>
      <c r="AH26" s="132">
        <f>'2-ф2'!AH22</f>
        <v>10881.690475270325</v>
      </c>
      <c r="AI26" s="132">
        <f>'2-ф2'!AI22</f>
        <v>14297.492438193178</v>
      </c>
      <c r="AJ26" s="132">
        <f>'2-ф2'!AJ22</f>
        <v>17842.233967194778</v>
      </c>
    </row>
    <row r="28" spans="1:36" ht="12.75">
      <c r="A28" s="135" t="s">
        <v>123</v>
      </c>
      <c r="B28" s="136"/>
      <c r="C28" s="137">
        <f aca="true" t="shared" si="12" ref="C28:AH28">C5-C16</f>
        <v>0</v>
      </c>
      <c r="D28" s="250">
        <f t="shared" si="12"/>
        <v>0</v>
      </c>
      <c r="E28" s="250">
        <f t="shared" si="12"/>
        <v>0</v>
      </c>
      <c r="F28" s="250">
        <f t="shared" si="12"/>
        <v>0</v>
      </c>
      <c r="G28" s="250">
        <f t="shared" si="12"/>
        <v>0</v>
      </c>
      <c r="H28" s="250">
        <f t="shared" si="12"/>
        <v>0</v>
      </c>
      <c r="I28" s="250">
        <f t="shared" si="12"/>
        <v>0</v>
      </c>
      <c r="J28" s="250">
        <f t="shared" si="12"/>
        <v>0</v>
      </c>
      <c r="K28" s="250">
        <f t="shared" si="12"/>
        <v>0</v>
      </c>
      <c r="L28" s="250">
        <f t="shared" si="12"/>
        <v>0</v>
      </c>
      <c r="M28" s="250">
        <f t="shared" si="12"/>
        <v>0</v>
      </c>
      <c r="N28" s="250">
        <f t="shared" si="12"/>
        <v>0</v>
      </c>
      <c r="O28" s="250">
        <f t="shared" si="12"/>
        <v>0</v>
      </c>
      <c r="P28" s="250">
        <f>P5-P16</f>
        <v>0</v>
      </c>
      <c r="Q28" s="250">
        <f t="shared" si="12"/>
        <v>0</v>
      </c>
      <c r="R28" s="250">
        <f t="shared" si="12"/>
        <v>0</v>
      </c>
      <c r="S28" s="250">
        <f t="shared" si="12"/>
        <v>0</v>
      </c>
      <c r="T28" s="250">
        <f t="shared" si="12"/>
        <v>0</v>
      </c>
      <c r="U28" s="250">
        <f t="shared" si="12"/>
        <v>0</v>
      </c>
      <c r="V28" s="250">
        <f t="shared" si="12"/>
        <v>0</v>
      </c>
      <c r="W28" s="250">
        <f t="shared" si="12"/>
        <v>0</v>
      </c>
      <c r="X28" s="250">
        <f t="shared" si="12"/>
        <v>0</v>
      </c>
      <c r="Y28" s="250">
        <f t="shared" si="12"/>
        <v>0</v>
      </c>
      <c r="Z28" s="250">
        <f t="shared" si="12"/>
        <v>0</v>
      </c>
      <c r="AA28" s="250">
        <f t="shared" si="12"/>
        <v>0</v>
      </c>
      <c r="AB28" s="250">
        <f t="shared" si="12"/>
        <v>0</v>
      </c>
      <c r="AC28" s="250">
        <f t="shared" si="12"/>
        <v>0</v>
      </c>
      <c r="AD28" s="250">
        <f t="shared" si="12"/>
        <v>0</v>
      </c>
      <c r="AE28" s="250">
        <f t="shared" si="12"/>
        <v>0</v>
      </c>
      <c r="AF28" s="250">
        <f t="shared" si="12"/>
        <v>0</v>
      </c>
      <c r="AG28" s="250">
        <f t="shared" si="12"/>
        <v>0</v>
      </c>
      <c r="AH28" s="250">
        <f t="shared" si="12"/>
        <v>0</v>
      </c>
      <c r="AI28" s="250">
        <f>AI5-AI16</f>
        <v>0</v>
      </c>
      <c r="AJ28" s="250">
        <f>AJ5-AJ16</f>
        <v>0</v>
      </c>
    </row>
    <row r="29" spans="4:36" ht="12.75" hidden="1"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</row>
    <row r="30" spans="1:36" ht="12.75" hidden="1">
      <c r="A30" s="118" t="s">
        <v>122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>
        <f>P26</f>
        <v>155.92487625000007</v>
      </c>
      <c r="Q30" s="260">
        <f>'[45]ф2'!Q32</f>
        <v>109.48954266069855</v>
      </c>
      <c r="R30" s="260">
        <f>'[45]ф2'!R32</f>
        <v>109.48954266069855</v>
      </c>
      <c r="S30" s="260">
        <f>'[45]ф2'!S32</f>
        <v>108.45296951069854</v>
      </c>
      <c r="T30" s="260">
        <f>'[45]ф2'!T32</f>
        <v>106.37982321069852</v>
      </c>
      <c r="U30" s="260">
        <f>'[45]ф2'!U32</f>
        <v>103.27010376069849</v>
      </c>
      <c r="V30" s="260">
        <f>'[45]ф2'!V32</f>
        <v>103.27010376069849</v>
      </c>
      <c r="W30" s="260">
        <f>'[45]ф2'!W32</f>
        <v>103.27010376069849</v>
      </c>
      <c r="X30" s="260">
        <f>'[45]ф2'!X32</f>
        <v>99.20125340855881</v>
      </c>
      <c r="Y30" s="260">
        <f>'[45]ф2'!Y32</f>
        <v>99.20125340855881</v>
      </c>
      <c r="Z30" s="260">
        <f>'[45]ф2'!Z32</f>
        <v>99.20125340855881</v>
      </c>
      <c r="AA30" s="260">
        <f>'[45]ф2'!AA32</f>
        <v>99.20125340855881</v>
      </c>
      <c r="AB30" s="260">
        <f>'[45]ф2'!AB32</f>
        <v>82.61608300855879</v>
      </c>
      <c r="AC30" s="260">
        <f>AC26-P26</f>
        <v>-1956.6303839530424</v>
      </c>
      <c r="AD30" s="260">
        <f>AD26-AC26</f>
        <v>1357.8411960356098</v>
      </c>
      <c r="AE30" s="260">
        <f>AE26-AD26</f>
        <v>2449.8254216321097</v>
      </c>
      <c r="AF30" s="260">
        <f>AF26-AE26</f>
        <v>2683.7479933967825</v>
      </c>
      <c r="AG30" s="260">
        <f>AG26-AF26</f>
        <v>2967.576139415407</v>
      </c>
      <c r="AH30" s="260">
        <f>AH26-AG26</f>
        <v>3223.4052324934582</v>
      </c>
      <c r="AI30" s="260"/>
      <c r="AJ30" s="260"/>
    </row>
    <row r="31" spans="1:36" ht="12.75" hidden="1">
      <c r="A31" s="118" t="s">
        <v>124</v>
      </c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>
        <f>(P8+P10+P13+P14)-(C8+C10+C13+C14)</f>
        <v>0</v>
      </c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>
        <f>(AC8+AC10+AC13+AC14)-(P8+P10+P13+P14)</f>
        <v>0</v>
      </c>
      <c r="AD31" s="260">
        <f>(AD8+AD10+AD13+AD14)-(AC8+AC10+AC13+AC14)</f>
        <v>0</v>
      </c>
      <c r="AE31" s="260">
        <f>(AE8+AE10+AE13+AE14)-(AD8+AD10+AD13+AD14)</f>
        <v>0</v>
      </c>
      <c r="AF31" s="260">
        <f>(AF8+AF10+AF13+AF14)-(AE8+AE10+AE13+AE14)</f>
        <v>0</v>
      </c>
      <c r="AG31" s="260">
        <f>(AG8+AG10+AG13+AG14)-(AF8+AF10+AF13+AF14)</f>
        <v>0</v>
      </c>
      <c r="AH31" s="260">
        <f>(AH8+AH10+AH13+AH14)-(AG8+AG10+AG13+AG14)</f>
        <v>0</v>
      </c>
      <c r="AI31" s="260"/>
      <c r="AJ31" s="260"/>
    </row>
    <row r="32" spans="1:36" ht="12.75" hidden="1">
      <c r="A32" s="118" t="s">
        <v>125</v>
      </c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>
        <f>P9-C9</f>
        <v>13.5</v>
      </c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>
        <f>AC9-P9</f>
        <v>0</v>
      </c>
      <c r="AD32" s="260">
        <f>AD9-AC9</f>
        <v>0</v>
      </c>
      <c r="AE32" s="260">
        <f>AE9-AD9</f>
        <v>0</v>
      </c>
      <c r="AF32" s="260">
        <f>AF9-AE9</f>
        <v>0</v>
      </c>
      <c r="AG32" s="260">
        <f>AG9-AF9</f>
        <v>0</v>
      </c>
      <c r="AH32" s="260">
        <f>AH9-AG9</f>
        <v>0</v>
      </c>
      <c r="AI32" s="260"/>
      <c r="AJ32" s="260"/>
    </row>
    <row r="33" spans="1:36" ht="12.75" hidden="1">
      <c r="A33" s="118" t="s">
        <v>126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>
        <f>(P21+P17)-(C21+C17)</f>
        <v>7472.159104166666</v>
      </c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>
        <f>(AC21+AC17)-(P21+P17)</f>
        <v>-90.1589890123114</v>
      </c>
      <c r="AD33" s="260">
        <f>(AD21+AD17)-(AC21+AC17)</f>
        <v>-1075.0071581192078</v>
      </c>
      <c r="AE33" s="260">
        <f>(AE21+AE17)-(AD21+AD17)</f>
        <v>-1152.7195125006783</v>
      </c>
      <c r="AF33" s="260">
        <f>(AF21+AF17)-(AE21+AE17)</f>
        <v>-1236.0496992639132</v>
      </c>
      <c r="AG33" s="260">
        <f>(AG21+AG17)-(AF21+AF17)</f>
        <v>-1325.403831966028</v>
      </c>
      <c r="AH33" s="260">
        <f>(AH21+AH17)-(AG21+AG17)</f>
        <v>-1421.2173821460165</v>
      </c>
      <c r="AI33" s="260"/>
      <c r="AJ33" s="260"/>
    </row>
    <row r="34" spans="1:36" ht="12.75" hidden="1">
      <c r="A34" s="118" t="s">
        <v>127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>
        <f>-P31+P32+P33</f>
        <v>7485.659104166666</v>
      </c>
      <c r="Q34" s="260">
        <f aca="true" t="shared" si="13" ref="Q34:AB34">Q31+Q32+Q33</f>
        <v>0</v>
      </c>
      <c r="R34" s="260">
        <f t="shared" si="13"/>
        <v>0</v>
      </c>
      <c r="S34" s="260">
        <f t="shared" si="13"/>
        <v>0</v>
      </c>
      <c r="T34" s="260">
        <f t="shared" si="13"/>
        <v>0</v>
      </c>
      <c r="U34" s="260">
        <f t="shared" si="13"/>
        <v>0</v>
      </c>
      <c r="V34" s="260">
        <f t="shared" si="13"/>
        <v>0</v>
      </c>
      <c r="W34" s="260">
        <f t="shared" si="13"/>
        <v>0</v>
      </c>
      <c r="X34" s="260">
        <f t="shared" si="13"/>
        <v>0</v>
      </c>
      <c r="Y34" s="260">
        <f t="shared" si="13"/>
        <v>0</v>
      </c>
      <c r="Z34" s="260">
        <f t="shared" si="13"/>
        <v>0</v>
      </c>
      <c r="AA34" s="260">
        <f t="shared" si="13"/>
        <v>0</v>
      </c>
      <c r="AB34" s="260">
        <f t="shared" si="13"/>
        <v>0</v>
      </c>
      <c r="AC34" s="260">
        <f aca="true" t="shared" si="14" ref="AC34:AH34">-AC31+AC32+AC33</f>
        <v>-90.1589890123114</v>
      </c>
      <c r="AD34" s="260">
        <f t="shared" si="14"/>
        <v>-1075.0071581192078</v>
      </c>
      <c r="AE34" s="260">
        <f t="shared" si="14"/>
        <v>-1152.7195125006783</v>
      </c>
      <c r="AF34" s="260">
        <f t="shared" si="14"/>
        <v>-1236.0496992639132</v>
      </c>
      <c r="AG34" s="260">
        <f t="shared" si="14"/>
        <v>-1325.403831966028</v>
      </c>
      <c r="AH34" s="260">
        <f t="shared" si="14"/>
        <v>-1421.2173821460165</v>
      </c>
      <c r="AI34" s="260"/>
      <c r="AJ34" s="260"/>
    </row>
    <row r="35" spans="1:36" ht="12.75" hidden="1">
      <c r="A35" s="118" t="s">
        <v>69</v>
      </c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>
        <f>'2-ф2'!P17</f>
        <v>148.77083333333331</v>
      </c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>
        <f>'2-ф2'!AC17</f>
        <v>892.6249999999999</v>
      </c>
      <c r="AD35" s="260">
        <f>'2-ф2'!AD17</f>
        <v>892.625</v>
      </c>
      <c r="AE35" s="260">
        <f>'2-ф2'!AE17</f>
        <v>892.625</v>
      </c>
      <c r="AF35" s="260">
        <f>'2-ф2'!AF17</f>
        <v>892.625</v>
      </c>
      <c r="AG35" s="260">
        <f>'2-ф2'!AG17</f>
        <v>892.625</v>
      </c>
      <c r="AH35" s="260">
        <f>'2-ф2'!AH17</f>
        <v>892.625</v>
      </c>
      <c r="AI35" s="260"/>
      <c r="AJ35" s="260"/>
    </row>
    <row r="36" spans="1:36" ht="12.75" hidden="1">
      <c r="A36" s="118" t="s">
        <v>128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>
        <f>-'1-Ф3'!P25</f>
        <v>-8641</v>
      </c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>
        <f>-'1-Ф3'!AC25</f>
        <v>0</v>
      </c>
      <c r="AD36" s="260">
        <f>-'1-Ф3'!AD25</f>
        <v>0</v>
      </c>
      <c r="AE36" s="260">
        <f>-'1-Ф3'!AE25</f>
        <v>0</v>
      </c>
      <c r="AF36" s="260">
        <f>-'1-Ф3'!AF25</f>
        <v>0</v>
      </c>
      <c r="AG36" s="260">
        <f>-'1-Ф3'!AG25</f>
        <v>0</v>
      </c>
      <c r="AH36" s="260">
        <f>-'1-Ф3'!AH25</f>
        <v>0</v>
      </c>
      <c r="AI36" s="260"/>
      <c r="AJ36" s="260"/>
    </row>
    <row r="37" spans="1:36" ht="12.75" hidden="1">
      <c r="A37" s="118" t="s">
        <v>129</v>
      </c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>
        <f>P30+P34+P35+P36+P25</f>
        <v>447.5298137499992</v>
      </c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>
        <f aca="true" t="shared" si="15" ref="AC37:AH37">AC30+AC34+AC35+AC36</f>
        <v>-1154.1643729653538</v>
      </c>
      <c r="AD37" s="260">
        <f t="shared" si="15"/>
        <v>1175.459037916402</v>
      </c>
      <c r="AE37" s="260">
        <f t="shared" si="15"/>
        <v>2189.7309091314314</v>
      </c>
      <c r="AF37" s="260">
        <f t="shared" si="15"/>
        <v>2340.3232941328693</v>
      </c>
      <c r="AG37" s="260">
        <f t="shared" si="15"/>
        <v>2534.797307449379</v>
      </c>
      <c r="AH37" s="260">
        <f t="shared" si="15"/>
        <v>2694.812850347442</v>
      </c>
      <c r="AI37" s="260"/>
      <c r="AJ37" s="260"/>
    </row>
    <row r="38" spans="4:36" ht="12.75" hidden="1"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</row>
    <row r="39" spans="1:36" ht="12.75" hidden="1">
      <c r="A39" s="118" t="s">
        <v>135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>
        <f>'1-Ф3'!P38</f>
        <v>420.52981374999945</v>
      </c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>
        <f>'1-Ф3'!AC38</f>
        <v>-54.164372965356165</v>
      </c>
      <c r="AD39" s="260">
        <f>'1-Ф3'!AD38</f>
        <v>1175.4590379164006</v>
      </c>
      <c r="AE39" s="260">
        <f>'1-Ф3'!AE38</f>
        <v>2189.730909131432</v>
      </c>
      <c r="AF39" s="260">
        <f>'1-Ф3'!AF38</f>
        <v>2340.323294132867</v>
      </c>
      <c r="AG39" s="260">
        <f>'1-Ф3'!AG38</f>
        <v>2534.7973074493793</v>
      </c>
      <c r="AH39" s="260">
        <f>'1-Ф3'!AH38</f>
        <v>2694.81285034744</v>
      </c>
      <c r="AI39" s="260"/>
      <c r="AJ39" s="260"/>
    </row>
    <row r="40" spans="1:36" ht="12.75" hidden="1">
      <c r="A40" s="135" t="s">
        <v>123</v>
      </c>
      <c r="B40" s="136"/>
      <c r="C40" s="137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>
        <f>P39-P37</f>
        <v>-26.999999999999773</v>
      </c>
      <c r="Q40" s="250">
        <f aca="true" t="shared" si="16" ref="Q40:AB40">Q39-Q37</f>
        <v>0</v>
      </c>
      <c r="R40" s="250">
        <f t="shared" si="16"/>
        <v>0</v>
      </c>
      <c r="S40" s="250">
        <f t="shared" si="16"/>
        <v>0</v>
      </c>
      <c r="T40" s="250">
        <f t="shared" si="16"/>
        <v>0</v>
      </c>
      <c r="U40" s="250">
        <f t="shared" si="16"/>
        <v>0</v>
      </c>
      <c r="V40" s="250">
        <f t="shared" si="16"/>
        <v>0</v>
      </c>
      <c r="W40" s="250">
        <f t="shared" si="16"/>
        <v>0</v>
      </c>
      <c r="X40" s="250">
        <f t="shared" si="16"/>
        <v>0</v>
      </c>
      <c r="Y40" s="250">
        <f t="shared" si="16"/>
        <v>0</v>
      </c>
      <c r="Z40" s="250">
        <f t="shared" si="16"/>
        <v>0</v>
      </c>
      <c r="AA40" s="250">
        <f t="shared" si="16"/>
        <v>0</v>
      </c>
      <c r="AB40" s="250">
        <f t="shared" si="16"/>
        <v>0</v>
      </c>
      <c r="AC40" s="250">
        <f aca="true" t="shared" si="17" ref="AC40:AH40">AC39-AC37</f>
        <v>1099.9999999999977</v>
      </c>
      <c r="AD40" s="250">
        <f t="shared" si="17"/>
        <v>0</v>
      </c>
      <c r="AE40" s="250">
        <f t="shared" si="17"/>
        <v>0</v>
      </c>
      <c r="AF40" s="250">
        <f t="shared" si="17"/>
        <v>0</v>
      </c>
      <c r="AG40" s="250">
        <f t="shared" si="17"/>
        <v>0</v>
      </c>
      <c r="AH40" s="250">
        <f t="shared" si="17"/>
        <v>0</v>
      </c>
      <c r="AI40" s="260"/>
      <c r="AJ40" s="260"/>
    </row>
    <row r="41" spans="4:36" ht="12.75">
      <c r="D41" s="260"/>
      <c r="E41" s="260"/>
      <c r="F41" s="260">
        <f aca="true" t="shared" si="18" ref="F41:AJ41">F28-E28</f>
        <v>0</v>
      </c>
      <c r="G41" s="260">
        <f t="shared" si="18"/>
        <v>0</v>
      </c>
      <c r="H41" s="260">
        <f t="shared" si="18"/>
        <v>0</v>
      </c>
      <c r="I41" s="260">
        <f t="shared" si="18"/>
        <v>0</v>
      </c>
      <c r="J41" s="260">
        <f t="shared" si="18"/>
        <v>0</v>
      </c>
      <c r="K41" s="260">
        <f t="shared" si="18"/>
        <v>0</v>
      </c>
      <c r="L41" s="260">
        <f t="shared" si="18"/>
        <v>0</v>
      </c>
      <c r="M41" s="260">
        <f t="shared" si="18"/>
        <v>0</v>
      </c>
      <c r="N41" s="260">
        <f t="shared" si="18"/>
        <v>0</v>
      </c>
      <c r="O41" s="260">
        <f t="shared" si="18"/>
        <v>0</v>
      </c>
      <c r="P41" s="260">
        <f t="shared" si="18"/>
        <v>0</v>
      </c>
      <c r="Q41" s="260">
        <f t="shared" si="18"/>
        <v>0</v>
      </c>
      <c r="R41" s="260">
        <f t="shared" si="18"/>
        <v>0</v>
      </c>
      <c r="S41" s="260">
        <f t="shared" si="18"/>
        <v>0</v>
      </c>
      <c r="T41" s="260">
        <f t="shared" si="18"/>
        <v>0</v>
      </c>
      <c r="U41" s="260">
        <f t="shared" si="18"/>
        <v>0</v>
      </c>
      <c r="V41" s="260">
        <f t="shared" si="18"/>
        <v>0</v>
      </c>
      <c r="W41" s="260">
        <f t="shared" si="18"/>
        <v>0</v>
      </c>
      <c r="X41" s="260">
        <f t="shared" si="18"/>
        <v>0</v>
      </c>
      <c r="Y41" s="260">
        <f t="shared" si="18"/>
        <v>0</v>
      </c>
      <c r="Z41" s="260">
        <f t="shared" si="18"/>
        <v>0</v>
      </c>
      <c r="AA41" s="260">
        <f t="shared" si="18"/>
        <v>0</v>
      </c>
      <c r="AB41" s="260">
        <f t="shared" si="18"/>
        <v>0</v>
      </c>
      <c r="AC41" s="260">
        <f t="shared" si="18"/>
        <v>0</v>
      </c>
      <c r="AD41" s="260">
        <f t="shared" si="18"/>
        <v>0</v>
      </c>
      <c r="AE41" s="260">
        <f t="shared" si="18"/>
        <v>0</v>
      </c>
      <c r="AF41" s="260">
        <f t="shared" si="18"/>
        <v>0</v>
      </c>
      <c r="AG41" s="260">
        <f t="shared" si="18"/>
        <v>0</v>
      </c>
      <c r="AH41" s="260">
        <f t="shared" si="18"/>
        <v>0</v>
      </c>
      <c r="AI41" s="260">
        <f t="shared" si="18"/>
        <v>0</v>
      </c>
      <c r="AJ41" s="260">
        <f t="shared" si="18"/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showGridLines="0" zoomScalePageLayoutView="0" workbookViewId="0" topLeftCell="A1">
      <pane ySplit="3" topLeftCell="A7" activePane="bottomLeft" state="frozen"/>
      <selection pane="topLeft" activeCell="A34" sqref="A34"/>
      <selection pane="bottomLeft" activeCell="D14" sqref="D14"/>
    </sheetView>
  </sheetViews>
  <sheetFormatPr defaultColWidth="9.00390625" defaultRowHeight="12.75"/>
  <cols>
    <col min="1" max="1" width="35.00390625" style="77" customWidth="1"/>
    <col min="2" max="2" width="18.75390625" style="77" customWidth="1"/>
    <col min="3" max="3" width="17.00390625" style="77" customWidth="1"/>
    <col min="4" max="4" width="68.625" style="77" customWidth="1"/>
    <col min="5" max="6" width="9.125" style="77" customWidth="1"/>
    <col min="7" max="7" width="3.75390625" style="77" customWidth="1"/>
    <col min="8" max="8" width="14.00390625" style="77" customWidth="1"/>
    <col min="9" max="9" width="14.875" style="77" customWidth="1"/>
    <col min="10" max="10" width="15.75390625" style="77" customWidth="1"/>
    <col min="11" max="12" width="9.125" style="77" customWidth="1"/>
    <col min="13" max="13" width="14.375" style="77" customWidth="1"/>
    <col min="14" max="16384" width="9.125" style="77" customWidth="1"/>
  </cols>
  <sheetData>
    <row r="1" spans="1:3" ht="12.75">
      <c r="A1" s="334" t="s">
        <v>34</v>
      </c>
      <c r="B1" s="334"/>
      <c r="C1" s="334"/>
    </row>
    <row r="2" ht="4.5" customHeight="1">
      <c r="A2" s="61"/>
    </row>
    <row r="3" spans="1:3" ht="12.75">
      <c r="A3" s="78" t="s">
        <v>24</v>
      </c>
      <c r="B3" s="79" t="s">
        <v>35</v>
      </c>
      <c r="C3" s="79" t="s">
        <v>6</v>
      </c>
    </row>
    <row r="4" ht="12.75">
      <c r="A4" s="61" t="s">
        <v>137</v>
      </c>
    </row>
    <row r="5" spans="1:3" ht="12.75">
      <c r="A5" s="80" t="s">
        <v>94</v>
      </c>
      <c r="B5" s="80"/>
      <c r="C5" s="228">
        <v>151.95</v>
      </c>
    </row>
    <row r="6" spans="1:3" ht="12.75">
      <c r="A6" s="80" t="s">
        <v>147</v>
      </c>
      <c r="B6" s="80"/>
      <c r="C6" s="228">
        <v>4.57</v>
      </c>
    </row>
    <row r="7" spans="1:4" ht="12.75">
      <c r="A7" s="80" t="s">
        <v>65</v>
      </c>
      <c r="B7" s="80"/>
      <c r="C7" s="155">
        <f>15%*C9+C46*(1-C22)*(1-C9)</f>
        <v>0.08438922804859297</v>
      </c>
      <c r="D7" s="77" t="s">
        <v>326</v>
      </c>
    </row>
    <row r="8" spans="1:4" ht="12.75">
      <c r="A8" s="151" t="s">
        <v>187</v>
      </c>
      <c r="B8" s="80"/>
      <c r="C8" s="155"/>
      <c r="D8" s="247"/>
    </row>
    <row r="9" spans="1:3" ht="12.75">
      <c r="A9" s="80" t="s">
        <v>201</v>
      </c>
      <c r="B9" s="80"/>
      <c r="C9" s="155">
        <f>'1-Ф3'!B32/'1-Ф3'!B31</f>
        <v>0.2458531959608386</v>
      </c>
    </row>
    <row r="10" spans="1:3" ht="12.75">
      <c r="A10" s="80" t="s">
        <v>96</v>
      </c>
      <c r="B10" s="80"/>
      <c r="C10" s="155">
        <f>'1-Ф3'!B33/'1-Ф3'!B31</f>
        <v>0.7541468040391613</v>
      </c>
    </row>
    <row r="11" spans="1:3" ht="12.75">
      <c r="A11" s="80" t="s">
        <v>130</v>
      </c>
      <c r="B11" s="80"/>
      <c r="C11" s="84" t="s">
        <v>51</v>
      </c>
    </row>
    <row r="12" ht="12.75">
      <c r="A12" s="61" t="s">
        <v>131</v>
      </c>
    </row>
    <row r="13" spans="1:4" ht="12.75">
      <c r="A13" s="80" t="s">
        <v>41</v>
      </c>
      <c r="B13" s="82" t="s">
        <v>37</v>
      </c>
      <c r="C13" s="83">
        <v>0.1</v>
      </c>
      <c r="D13" s="77" t="s">
        <v>218</v>
      </c>
    </row>
    <row r="14" spans="1:4" ht="12.75">
      <c r="A14" s="80" t="s">
        <v>46</v>
      </c>
      <c r="B14" s="82" t="s">
        <v>37</v>
      </c>
      <c r="C14" s="83">
        <v>0.05</v>
      </c>
      <c r="D14" s="77" t="s">
        <v>218</v>
      </c>
    </row>
    <row r="15" spans="1:3" ht="12.75">
      <c r="A15" s="80" t="s">
        <v>42</v>
      </c>
      <c r="B15" s="82" t="s">
        <v>37</v>
      </c>
      <c r="C15" s="83">
        <v>0.1</v>
      </c>
    </row>
    <row r="16" spans="1:3" ht="12.75">
      <c r="A16" s="80" t="s">
        <v>44</v>
      </c>
      <c r="B16" s="82" t="s">
        <v>37</v>
      </c>
      <c r="C16" s="83">
        <v>0.06</v>
      </c>
    </row>
    <row r="17" spans="1:3" ht="12.75">
      <c r="A17" s="80" t="s">
        <v>104</v>
      </c>
      <c r="B17" s="82" t="s">
        <v>51</v>
      </c>
      <c r="C17" s="85">
        <v>18.66</v>
      </c>
    </row>
    <row r="18" spans="1:3" ht="12.75" hidden="1">
      <c r="A18" s="80" t="s">
        <v>1</v>
      </c>
      <c r="B18" s="82"/>
      <c r="C18" s="237">
        <f>1.5%</f>
        <v>0.015</v>
      </c>
    </row>
    <row r="19" spans="1:4" s="297" customFormat="1" ht="25.5">
      <c r="A19" s="114" t="s">
        <v>36</v>
      </c>
      <c r="B19" s="243" t="s">
        <v>37</v>
      </c>
      <c r="C19" s="295">
        <v>0</v>
      </c>
      <c r="D19" s="296" t="s">
        <v>304</v>
      </c>
    </row>
    <row r="20" spans="1:3" ht="12.75">
      <c r="A20" s="80" t="s">
        <v>52</v>
      </c>
      <c r="B20" s="80"/>
      <c r="C20" s="81">
        <v>1</v>
      </c>
    </row>
    <row r="21" spans="1:3" ht="12.75" hidden="1">
      <c r="A21" s="80" t="s">
        <v>204</v>
      </c>
      <c r="B21" s="82" t="s">
        <v>37</v>
      </c>
      <c r="C21" s="83">
        <v>0.03</v>
      </c>
    </row>
    <row r="22" spans="1:4" ht="12.75">
      <c r="A22" s="80" t="s">
        <v>217</v>
      </c>
      <c r="B22" s="80"/>
      <c r="C22" s="83">
        <v>0.1</v>
      </c>
      <c r="D22" s="77" t="s">
        <v>302</v>
      </c>
    </row>
    <row r="23" ht="12.75">
      <c r="A23" s="61" t="s">
        <v>303</v>
      </c>
    </row>
    <row r="24" spans="1:4" ht="12.75" customHeight="1">
      <c r="A24" s="114" t="s">
        <v>252</v>
      </c>
      <c r="B24" s="243" t="s">
        <v>255</v>
      </c>
      <c r="C24" s="298">
        <v>60</v>
      </c>
      <c r="D24" s="276"/>
    </row>
    <row r="25" spans="1:3" ht="12.75">
      <c r="A25" s="80" t="s">
        <v>268</v>
      </c>
      <c r="B25" s="82" t="s">
        <v>195</v>
      </c>
      <c r="C25" s="298">
        <v>7</v>
      </c>
    </row>
    <row r="26" spans="1:3" ht="12.75">
      <c r="A26" s="162" t="s">
        <v>253</v>
      </c>
      <c r="B26" s="243" t="s">
        <v>254</v>
      </c>
      <c r="C26" s="302">
        <f>ROUND(C24/C25,0)</f>
        <v>9</v>
      </c>
    </row>
    <row r="27" spans="1:4" ht="12.75">
      <c r="A27" s="80" t="s">
        <v>256</v>
      </c>
      <c r="B27" s="82" t="s">
        <v>257</v>
      </c>
      <c r="C27" s="298">
        <v>60</v>
      </c>
      <c r="D27" s="77" t="s">
        <v>258</v>
      </c>
    </row>
    <row r="28" spans="1:3" ht="12.75">
      <c r="A28" s="80" t="s">
        <v>259</v>
      </c>
      <c r="B28" s="82" t="s">
        <v>260</v>
      </c>
      <c r="C28" s="298">
        <v>6</v>
      </c>
    </row>
    <row r="29" spans="1:4" ht="12.75">
      <c r="A29" s="80" t="s">
        <v>250</v>
      </c>
      <c r="B29" s="82" t="s">
        <v>257</v>
      </c>
      <c r="C29" s="298">
        <f>3*30</f>
        <v>90</v>
      </c>
      <c r="D29" s="77" t="s">
        <v>285</v>
      </c>
    </row>
    <row r="30" spans="1:4" ht="28.5" customHeight="1">
      <c r="A30" s="114" t="s">
        <v>264</v>
      </c>
      <c r="B30" s="243" t="s">
        <v>263</v>
      </c>
      <c r="C30" s="298">
        <f>C24*0.25*4*1+C24*0.25*4*2+C24*0.25*4*3</f>
        <v>360</v>
      </c>
      <c r="D30" s="294" t="s">
        <v>300</v>
      </c>
    </row>
    <row r="31" ht="12.75">
      <c r="A31" s="61" t="s">
        <v>230</v>
      </c>
    </row>
    <row r="32" spans="1:4" ht="12.75" customHeight="1">
      <c r="A32" s="114" t="s">
        <v>244</v>
      </c>
      <c r="B32" s="243" t="s">
        <v>245</v>
      </c>
      <c r="C32" s="298">
        <v>15000</v>
      </c>
      <c r="D32" s="276"/>
    </row>
    <row r="33" spans="1:3" ht="12.75">
      <c r="A33" s="80" t="s">
        <v>246</v>
      </c>
      <c r="B33" s="82" t="s">
        <v>247</v>
      </c>
      <c r="C33" s="298">
        <v>5000</v>
      </c>
    </row>
    <row r="34" spans="1:3" ht="25.5">
      <c r="A34" s="162" t="s">
        <v>249</v>
      </c>
      <c r="B34" s="243" t="s">
        <v>248</v>
      </c>
      <c r="C34" s="298">
        <v>60000</v>
      </c>
    </row>
    <row r="35" spans="1:3" ht="12.75">
      <c r="A35" s="80" t="s">
        <v>250</v>
      </c>
      <c r="B35" s="82" t="s">
        <v>251</v>
      </c>
      <c r="C35" s="298">
        <v>3000</v>
      </c>
    </row>
    <row r="36" spans="1:3" ht="12.75">
      <c r="A36" s="80" t="s">
        <v>261</v>
      </c>
      <c r="B36" s="82" t="s">
        <v>262</v>
      </c>
      <c r="C36" s="298">
        <v>250</v>
      </c>
    </row>
    <row r="37" ht="12.75">
      <c r="A37" s="61" t="s">
        <v>231</v>
      </c>
    </row>
    <row r="38" spans="1:4" ht="25.5">
      <c r="A38" s="114" t="s">
        <v>232</v>
      </c>
      <c r="B38" s="243" t="s">
        <v>233</v>
      </c>
      <c r="C38" s="298">
        <f>300*1800/1000</f>
        <v>540</v>
      </c>
      <c r="D38" s="276" t="s">
        <v>240</v>
      </c>
    </row>
    <row r="39" spans="1:4" ht="12.75">
      <c r="A39" s="80" t="s">
        <v>241</v>
      </c>
      <c r="B39" s="82" t="s">
        <v>242</v>
      </c>
      <c r="C39" s="143">
        <f>12*3</f>
        <v>36</v>
      </c>
      <c r="D39" s="77" t="s">
        <v>243</v>
      </c>
    </row>
    <row r="40" spans="1:4" ht="12.75">
      <c r="A40" s="335" t="s">
        <v>265</v>
      </c>
      <c r="B40" s="82" t="s">
        <v>245</v>
      </c>
      <c r="C40" s="143">
        <f>3*C39</f>
        <v>108</v>
      </c>
      <c r="D40" s="77" t="s">
        <v>266</v>
      </c>
    </row>
    <row r="41" spans="1:4" ht="12.75">
      <c r="A41" s="336"/>
      <c r="B41" s="82" t="s">
        <v>281</v>
      </c>
      <c r="C41" s="144">
        <f>C40/3</f>
        <v>36</v>
      </c>
      <c r="D41" s="77" t="s">
        <v>282</v>
      </c>
    </row>
    <row r="42" spans="1:4" ht="12.75">
      <c r="A42" s="80" t="s">
        <v>279</v>
      </c>
      <c r="B42" s="82" t="s">
        <v>37</v>
      </c>
      <c r="C42" s="295">
        <v>0.4</v>
      </c>
      <c r="D42" s="77" t="s">
        <v>212</v>
      </c>
    </row>
    <row r="43" spans="1:3" ht="12.75">
      <c r="A43" s="299" t="s">
        <v>267</v>
      </c>
      <c r="B43" s="243" t="s">
        <v>37</v>
      </c>
      <c r="C43" s="295">
        <v>0.3</v>
      </c>
    </row>
    <row r="45" ht="12.75">
      <c r="A45" s="61" t="s">
        <v>138</v>
      </c>
    </row>
    <row r="46" spans="1:4" ht="12.75" customHeight="1">
      <c r="A46" s="114" t="s">
        <v>49</v>
      </c>
      <c r="B46" s="243" t="s">
        <v>37</v>
      </c>
      <c r="C46" s="262">
        <v>0.07</v>
      </c>
      <c r="D46" s="276"/>
    </row>
    <row r="47" spans="1:3" ht="12.75">
      <c r="A47" s="80" t="s">
        <v>139</v>
      </c>
      <c r="B47" s="82" t="s">
        <v>140</v>
      </c>
      <c r="C47" s="228">
        <v>7</v>
      </c>
    </row>
    <row r="48" spans="1:3" ht="12.75">
      <c r="A48" s="80" t="s">
        <v>142</v>
      </c>
      <c r="B48" s="82" t="s">
        <v>143</v>
      </c>
      <c r="C48" s="143">
        <v>6</v>
      </c>
    </row>
    <row r="49" spans="1:3" ht="12.75">
      <c r="A49" s="80" t="s">
        <v>141</v>
      </c>
      <c r="B49" s="82" t="s">
        <v>143</v>
      </c>
      <c r="C49" s="143">
        <v>12</v>
      </c>
    </row>
  </sheetData>
  <sheetProtection/>
  <mergeCells count="2">
    <mergeCell ref="A1:C1"/>
    <mergeCell ref="A40:A41"/>
  </mergeCells>
  <printOptions/>
  <pageMargins left="0.4330708661417323" right="0.4724409448818898" top="0.37" bottom="0.23" header="0.24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1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" sqref="A13"/>
    </sheetView>
  </sheetViews>
  <sheetFormatPr defaultColWidth="8.875" defaultRowHeight="12.75"/>
  <cols>
    <col min="1" max="1" width="38.375" style="77" customWidth="1"/>
    <col min="2" max="2" width="15.375" style="77" customWidth="1"/>
    <col min="3" max="3" width="16.25390625" style="77" customWidth="1"/>
    <col min="4" max="4" width="14.00390625" style="77" customWidth="1"/>
    <col min="5" max="5" width="15.25390625" style="77" customWidth="1"/>
    <col min="6" max="6" width="25.00390625" style="77" customWidth="1"/>
    <col min="7" max="9" width="8.875" style="77" customWidth="1"/>
    <col min="10" max="10" width="8.00390625" style="77" customWidth="1"/>
    <col min="11" max="11" width="8.25390625" style="77" customWidth="1"/>
    <col min="12" max="16384" width="8.875" style="77" customWidth="1"/>
  </cols>
  <sheetData>
    <row r="1" ht="12.75">
      <c r="A1" s="61" t="s">
        <v>194</v>
      </c>
    </row>
    <row r="2" ht="3" customHeight="1">
      <c r="A2" s="61"/>
    </row>
    <row r="3" spans="1:3" ht="12.75">
      <c r="A3" s="77" t="s">
        <v>276</v>
      </c>
      <c r="C3" s="241"/>
    </row>
    <row r="4" spans="1:5" ht="12.75" customHeight="1">
      <c r="A4" s="291" t="s">
        <v>272</v>
      </c>
      <c r="B4" s="290" t="s">
        <v>177</v>
      </c>
      <c r="C4" s="290" t="s">
        <v>145</v>
      </c>
      <c r="D4" s="290" t="s">
        <v>275</v>
      </c>
      <c r="E4" s="238" t="s">
        <v>171</v>
      </c>
    </row>
    <row r="5" spans="1:6" ht="12.75">
      <c r="A5" s="337" t="s">
        <v>252</v>
      </c>
      <c r="B5" s="300" t="s">
        <v>195</v>
      </c>
      <c r="C5" s="144">
        <f>Исх!C24</f>
        <v>60</v>
      </c>
      <c r="D5" s="339">
        <f>Исх!C32</f>
        <v>15000</v>
      </c>
      <c r="E5" s="339">
        <f>C5*D5/1000</f>
        <v>900</v>
      </c>
      <c r="F5" s="279"/>
    </row>
    <row r="6" spans="1:6" ht="12.75">
      <c r="A6" s="338"/>
      <c r="B6" s="300" t="s">
        <v>254</v>
      </c>
      <c r="C6" s="144">
        <f>Исх!C26</f>
        <v>9</v>
      </c>
      <c r="D6" s="340"/>
      <c r="E6" s="340"/>
      <c r="F6" s="279"/>
    </row>
    <row r="7" spans="1:6" ht="12.75">
      <c r="A7" s="80" t="s">
        <v>256</v>
      </c>
      <c r="B7" s="300" t="s">
        <v>277</v>
      </c>
      <c r="C7" s="144">
        <f>Исх!C27</f>
        <v>60</v>
      </c>
      <c r="D7" s="44">
        <f>Исх!C33</f>
        <v>5000</v>
      </c>
      <c r="E7" s="144">
        <f>C7*D7/1000</f>
        <v>300</v>
      </c>
      <c r="F7" s="279"/>
    </row>
    <row r="8" spans="1:6" ht="25.5">
      <c r="A8" s="162" t="s">
        <v>274</v>
      </c>
      <c r="B8" s="301" t="s">
        <v>278</v>
      </c>
      <c r="C8" s="302">
        <f>Исх!C28</f>
        <v>6</v>
      </c>
      <c r="D8" s="302">
        <f>Исх!C34</f>
        <v>60000</v>
      </c>
      <c r="E8" s="302">
        <f>C8*D8/1000</f>
        <v>360</v>
      </c>
      <c r="F8" s="279"/>
    </row>
    <row r="9" spans="1:6" ht="12.75">
      <c r="A9" s="80" t="s">
        <v>250</v>
      </c>
      <c r="B9" s="300" t="s">
        <v>277</v>
      </c>
      <c r="C9" s="144">
        <f>Исх!C29</f>
        <v>90</v>
      </c>
      <c r="D9" s="144">
        <f>Исх!C35</f>
        <v>3000</v>
      </c>
      <c r="E9" s="302">
        <f>C9*D9/1000</f>
        <v>270</v>
      </c>
      <c r="F9" s="279"/>
    </row>
    <row r="10" spans="1:6" ht="12.75">
      <c r="A10" s="114" t="s">
        <v>269</v>
      </c>
      <c r="B10" s="300" t="s">
        <v>195</v>
      </c>
      <c r="C10" s="144">
        <f>Исх!C30</f>
        <v>360</v>
      </c>
      <c r="D10" s="144">
        <f>Исх!C36</f>
        <v>250</v>
      </c>
      <c r="E10" s="302">
        <f>C10*D10/1000</f>
        <v>90</v>
      </c>
      <c r="F10" s="279"/>
    </row>
    <row r="11" spans="1:6" ht="12.75">
      <c r="A11" s="244" t="s">
        <v>0</v>
      </c>
      <c r="B11" s="213"/>
      <c r="C11" s="213"/>
      <c r="D11" s="213"/>
      <c r="E11" s="213">
        <f>SUM(E5:E10)</f>
        <v>1920</v>
      </c>
      <c r="F11" s="195"/>
    </row>
    <row r="12" ht="3" customHeight="1"/>
    <row r="13" ht="12.75">
      <c r="A13" s="266" t="s">
        <v>273</v>
      </c>
    </row>
  </sheetData>
  <sheetProtection/>
  <mergeCells count="3">
    <mergeCell ref="A5:A6"/>
    <mergeCell ref="D5:D6"/>
    <mergeCell ref="E5:E6"/>
  </mergeCells>
  <printOptions/>
  <pageMargins left="0.41" right="0.18" top="0.65" bottom="0.38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8.875" defaultRowHeight="12.75"/>
  <cols>
    <col min="1" max="1" width="48.875" style="77" bestFit="1" customWidth="1"/>
    <col min="2" max="2" width="14.625" style="77" customWidth="1"/>
    <col min="3" max="3" width="10.875" style="77" customWidth="1"/>
    <col min="4" max="4" width="14.375" style="77" customWidth="1"/>
    <col min="5" max="5" width="10.875" style="77" customWidth="1"/>
    <col min="6" max="6" width="19.25390625" style="77" customWidth="1"/>
    <col min="7" max="7" width="15.375" style="77" customWidth="1"/>
    <col min="8" max="10" width="10.75390625" style="77" customWidth="1"/>
    <col min="11" max="16384" width="8.875" style="77" customWidth="1"/>
  </cols>
  <sheetData>
    <row r="1" spans="1:6" ht="12.75">
      <c r="A1" s="61" t="s">
        <v>283</v>
      </c>
      <c r="B1" s="61"/>
      <c r="C1" s="61"/>
      <c r="D1" s="61"/>
      <c r="E1" s="61"/>
      <c r="F1" s="61"/>
    </row>
    <row r="2" spans="1:6" ht="7.5" customHeight="1">
      <c r="A2" s="61"/>
      <c r="B2" s="61"/>
      <c r="D2" s="61"/>
      <c r="F2" s="61"/>
    </row>
    <row r="3" ht="12.75">
      <c r="A3" s="77" t="s">
        <v>276</v>
      </c>
    </row>
    <row r="4" spans="1:6" ht="12.75">
      <c r="A4" s="212" t="s">
        <v>280</v>
      </c>
      <c r="B4" s="227" t="s">
        <v>33</v>
      </c>
      <c r="C4" s="227" t="s">
        <v>177</v>
      </c>
      <c r="D4" s="227" t="s">
        <v>6</v>
      </c>
      <c r="E4" s="227" t="s">
        <v>177</v>
      </c>
      <c r="F4" s="227" t="s">
        <v>171</v>
      </c>
    </row>
    <row r="5" spans="1:6" ht="12.75">
      <c r="A5" s="80" t="str">
        <f>Дох!A5</f>
        <v>Групповые занятия</v>
      </c>
      <c r="B5" s="44">
        <f>Дох!C6</f>
        <v>9</v>
      </c>
      <c r="C5" s="304" t="str">
        <f>Дох!B6</f>
        <v>групп</v>
      </c>
      <c r="D5" s="44">
        <f>Исх!$C$41</f>
        <v>36</v>
      </c>
      <c r="E5" s="82" t="s">
        <v>51</v>
      </c>
      <c r="F5" s="44">
        <f>B5*D5</f>
        <v>324</v>
      </c>
    </row>
    <row r="6" spans="1:6" ht="12.75">
      <c r="A6" s="80" t="str">
        <f>Дох!A7</f>
        <v>Индивидуальные занятия</v>
      </c>
      <c r="B6" s="44">
        <f>Дох!E7</f>
        <v>300</v>
      </c>
      <c r="C6" s="304" t="s">
        <v>51</v>
      </c>
      <c r="D6" s="305">
        <f>Исх!$C$42</f>
        <v>0.4</v>
      </c>
      <c r="E6" s="341" t="s">
        <v>37</v>
      </c>
      <c r="F6" s="44">
        <f>B6*D6</f>
        <v>120</v>
      </c>
    </row>
    <row r="7" spans="1:6" ht="12.75">
      <c r="A7" s="80" t="str">
        <f>Дох!A8</f>
        <v>Wedding program, постановка корпоративных номеров</v>
      </c>
      <c r="B7" s="44">
        <f>Дох!E8</f>
        <v>360</v>
      </c>
      <c r="C7" s="304" t="s">
        <v>51</v>
      </c>
      <c r="D7" s="305">
        <f>Исх!$C$42</f>
        <v>0.4</v>
      </c>
      <c r="E7" s="342"/>
      <c r="F7" s="44">
        <f>B7*D7</f>
        <v>144</v>
      </c>
    </row>
    <row r="8" spans="1:6" ht="12.75">
      <c r="A8" s="80" t="str">
        <f>Дох!A9</f>
        <v>Аренда танцевальных залов</v>
      </c>
      <c r="B8" s="44" t="s">
        <v>301</v>
      </c>
      <c r="C8" s="82" t="s">
        <v>301</v>
      </c>
      <c r="D8" s="44" t="s">
        <v>301</v>
      </c>
      <c r="E8" s="82" t="s">
        <v>301</v>
      </c>
      <c r="F8" s="44" t="s">
        <v>301</v>
      </c>
    </row>
    <row r="9" spans="1:6" ht="12.75">
      <c r="A9" s="80" t="str">
        <f>Дох!A10</f>
        <v>Буфет</v>
      </c>
      <c r="B9" s="44">
        <f>Дох!E10</f>
        <v>90</v>
      </c>
      <c r="C9" s="82" t="s">
        <v>51</v>
      </c>
      <c r="D9" s="305">
        <f>Исх!$C$43</f>
        <v>0.3</v>
      </c>
      <c r="E9" s="82" t="s">
        <v>37</v>
      </c>
      <c r="F9" s="44">
        <f>B9*D9</f>
        <v>27</v>
      </c>
    </row>
    <row r="10" spans="1:6" ht="12.75">
      <c r="A10" s="212" t="str">
        <f>Дох!A11</f>
        <v>Итого</v>
      </c>
      <c r="B10" s="303"/>
      <c r="C10" s="227"/>
      <c r="D10" s="303"/>
      <c r="E10" s="227"/>
      <c r="F10" s="303">
        <f>SUM(F5:F9)</f>
        <v>615</v>
      </c>
    </row>
  </sheetData>
  <sheetProtection/>
  <mergeCells count="1">
    <mergeCell ref="E6:E7"/>
  </mergeCells>
  <printOptions/>
  <pageMargins left="0.34" right="0.43" top="0.73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J14"/>
  <sheetViews>
    <sheetView showGridLines="0" showZeros="0" zoomScalePageLayoutView="0" workbookViewId="0" topLeftCell="A1">
      <pane xSplit="3" ySplit="4" topLeftCell="P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J7" sqref="AJ7"/>
    </sheetView>
  </sheetViews>
  <sheetFormatPr defaultColWidth="10.125" defaultRowHeight="12.75" outlineLevelCol="1"/>
  <cols>
    <col min="1" max="1" width="37.25390625" style="231" customWidth="1"/>
    <col min="2" max="2" width="11.375" style="231" customWidth="1"/>
    <col min="3" max="3" width="6.375" style="231" bestFit="1" customWidth="1"/>
    <col min="4" max="12" width="9.00390625" style="231" hidden="1" customWidth="1" outlineLevel="1"/>
    <col min="13" max="14" width="8.625" style="231" hidden="1" customWidth="1" outlineLevel="1"/>
    <col min="15" max="15" width="8.875" style="231" hidden="1" customWidth="1" outlineLevel="1"/>
    <col min="16" max="16" width="9.125" style="231" customWidth="1" collapsed="1"/>
    <col min="17" max="28" width="8.375" style="231" hidden="1" customWidth="1" outlineLevel="1"/>
    <col min="29" max="29" width="9.125" style="231" customWidth="1" collapsed="1"/>
    <col min="30" max="32" width="9.125" style="231" customWidth="1"/>
    <col min="33" max="34" width="8.25390625" style="231" customWidth="1"/>
    <col min="35" max="35" width="8.25390625" style="229" customWidth="1"/>
    <col min="36" max="36" width="8.375" style="231" customWidth="1"/>
    <col min="37" max="16384" width="10.125" style="231" customWidth="1"/>
  </cols>
  <sheetData>
    <row r="1" spans="1:35" ht="21" customHeight="1">
      <c r="A1" s="234" t="s">
        <v>327</v>
      </c>
      <c r="B1" s="230"/>
      <c r="C1" s="230"/>
      <c r="AI1" s="231"/>
    </row>
    <row r="2" spans="1:35" ht="17.25" customHeight="1">
      <c r="A2" s="234"/>
      <c r="B2" s="235"/>
      <c r="C2" s="232"/>
      <c r="AI2" s="231"/>
    </row>
    <row r="3" spans="1:36" ht="12.75" customHeight="1">
      <c r="A3" s="343" t="s">
        <v>328</v>
      </c>
      <c r="B3" s="332"/>
      <c r="C3" s="345" t="s">
        <v>35</v>
      </c>
      <c r="D3" s="333">
        <v>2013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>
        <v>2014</v>
      </c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122">
        <v>2015</v>
      </c>
      <c r="AE3" s="122">
        <f aca="true" t="shared" si="0" ref="AE3:AJ3">AD3+1</f>
        <v>2016</v>
      </c>
      <c r="AF3" s="122">
        <f t="shared" si="0"/>
        <v>2017</v>
      </c>
      <c r="AG3" s="122">
        <f t="shared" si="0"/>
        <v>2018</v>
      </c>
      <c r="AH3" s="122">
        <f t="shared" si="0"/>
        <v>2019</v>
      </c>
      <c r="AI3" s="122">
        <f t="shared" si="0"/>
        <v>2020</v>
      </c>
      <c r="AJ3" s="122">
        <f t="shared" si="0"/>
        <v>2021</v>
      </c>
    </row>
    <row r="4" spans="1:36" ht="12.75">
      <c r="A4" s="344"/>
      <c r="B4" s="332"/>
      <c r="C4" s="346"/>
      <c r="D4" s="124">
        <f aca="true" t="shared" si="1" ref="D4:L4">C4+1</f>
        <v>1</v>
      </c>
      <c r="E4" s="124">
        <f t="shared" si="1"/>
        <v>2</v>
      </c>
      <c r="F4" s="124">
        <f t="shared" si="1"/>
        <v>3</v>
      </c>
      <c r="G4" s="124">
        <f t="shared" si="1"/>
        <v>4</v>
      </c>
      <c r="H4" s="124">
        <f t="shared" si="1"/>
        <v>5</v>
      </c>
      <c r="I4" s="124">
        <f t="shared" si="1"/>
        <v>6</v>
      </c>
      <c r="J4" s="124">
        <f t="shared" si="1"/>
        <v>7</v>
      </c>
      <c r="K4" s="124">
        <f t="shared" si="1"/>
        <v>8</v>
      </c>
      <c r="L4" s="124">
        <f t="shared" si="1"/>
        <v>9</v>
      </c>
      <c r="M4" s="124">
        <f>L4+1</f>
        <v>10</v>
      </c>
      <c r="N4" s="124">
        <f>M4+1</f>
        <v>11</v>
      </c>
      <c r="O4" s="124">
        <f>N4+1</f>
        <v>12</v>
      </c>
      <c r="P4" s="120" t="s">
        <v>0</v>
      </c>
      <c r="Q4" s="124">
        <v>1</v>
      </c>
      <c r="R4" s="124">
        <f aca="true" t="shared" si="2" ref="R4:AB4">Q4+1</f>
        <v>2</v>
      </c>
      <c r="S4" s="124">
        <f t="shared" si="2"/>
        <v>3</v>
      </c>
      <c r="T4" s="124">
        <f t="shared" si="2"/>
        <v>4</v>
      </c>
      <c r="U4" s="124">
        <f t="shared" si="2"/>
        <v>5</v>
      </c>
      <c r="V4" s="124">
        <f t="shared" si="2"/>
        <v>6</v>
      </c>
      <c r="W4" s="124">
        <f t="shared" si="2"/>
        <v>7</v>
      </c>
      <c r="X4" s="124">
        <f t="shared" si="2"/>
        <v>8</v>
      </c>
      <c r="Y4" s="124">
        <f t="shared" si="2"/>
        <v>9</v>
      </c>
      <c r="Z4" s="124">
        <f t="shared" si="2"/>
        <v>10</v>
      </c>
      <c r="AA4" s="124">
        <f t="shared" si="2"/>
        <v>11</v>
      </c>
      <c r="AB4" s="124">
        <f t="shared" si="2"/>
        <v>12</v>
      </c>
      <c r="AC4" s="120" t="s">
        <v>0</v>
      </c>
      <c r="AD4" s="120"/>
      <c r="AE4" s="120"/>
      <c r="AF4" s="120"/>
      <c r="AG4" s="120"/>
      <c r="AH4" s="120"/>
      <c r="AI4" s="120"/>
      <c r="AJ4" s="120"/>
    </row>
    <row r="5" spans="1:36" ht="15" customHeight="1">
      <c r="A5" s="233" t="s">
        <v>284</v>
      </c>
      <c r="B5" s="126"/>
      <c r="C5" s="127"/>
      <c r="D5" s="131"/>
      <c r="E5" s="131"/>
      <c r="F5" s="239"/>
      <c r="G5" s="239"/>
      <c r="H5" s="239"/>
      <c r="I5" s="239"/>
      <c r="J5" s="239"/>
      <c r="K5" s="239"/>
      <c r="L5" s="239"/>
      <c r="M5" s="239"/>
      <c r="N5" s="240">
        <v>0.5</v>
      </c>
      <c r="O5" s="240">
        <v>0.6</v>
      </c>
      <c r="P5" s="239">
        <f>AVERAGE(D5:O5)</f>
        <v>0.55</v>
      </c>
      <c r="Q5" s="240">
        <v>0.65</v>
      </c>
      <c r="R5" s="240">
        <v>0.7</v>
      </c>
      <c r="S5" s="240">
        <v>0.75</v>
      </c>
      <c r="T5" s="240">
        <v>0.8</v>
      </c>
      <c r="U5" s="240">
        <v>0.8</v>
      </c>
      <c r="V5" s="240">
        <v>0.5</v>
      </c>
      <c r="W5" s="240">
        <v>0.5</v>
      </c>
      <c r="X5" s="240">
        <v>0.5</v>
      </c>
      <c r="Y5" s="240">
        <v>0.8</v>
      </c>
      <c r="Z5" s="240">
        <v>0.9</v>
      </c>
      <c r="AA5" s="240">
        <v>1</v>
      </c>
      <c r="AB5" s="240">
        <v>1.1</v>
      </c>
      <c r="AC5" s="239">
        <f>AVERAGE(Q5:AB5)</f>
        <v>0.75</v>
      </c>
      <c r="AD5" s="240">
        <v>0.85</v>
      </c>
      <c r="AE5" s="240">
        <v>0.95</v>
      </c>
      <c r="AF5" s="240">
        <v>1</v>
      </c>
      <c r="AG5" s="240">
        <v>1.05</v>
      </c>
      <c r="AH5" s="240">
        <v>1.1</v>
      </c>
      <c r="AI5" s="240">
        <v>1.15</v>
      </c>
      <c r="AJ5" s="240">
        <v>1.2</v>
      </c>
    </row>
    <row r="6" spans="1:36" ht="12.75">
      <c r="A6" s="347" t="str">
        <f>Дох!A5</f>
        <v>Групповые занятия</v>
      </c>
      <c r="B6" s="132"/>
      <c r="C6" s="131" t="str">
        <f>Дох!B5</f>
        <v>чел.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>
        <f>Исх!$C$24*N$5</f>
        <v>30</v>
      </c>
      <c r="O6" s="131">
        <f>Исх!$C$24*O$5</f>
        <v>36</v>
      </c>
      <c r="P6" s="131">
        <f aca="true" t="shared" si="3" ref="P6:P11">AVERAGE(D6:O6)</f>
        <v>33</v>
      </c>
      <c r="Q6" s="131">
        <f>Исх!$C$24*Q$5</f>
        <v>39</v>
      </c>
      <c r="R6" s="131">
        <f>Исх!$C$24*R$5</f>
        <v>42</v>
      </c>
      <c r="S6" s="131">
        <f>Исх!$C$24*S$5</f>
        <v>45</v>
      </c>
      <c r="T6" s="131">
        <f>Исх!$C$24*T$5</f>
        <v>48</v>
      </c>
      <c r="U6" s="131">
        <f>Исх!$C$24*U$5</f>
        <v>48</v>
      </c>
      <c r="V6" s="131">
        <f>Исх!$C$24*V$5</f>
        <v>30</v>
      </c>
      <c r="W6" s="131">
        <f>Исх!$C$24*W$5</f>
        <v>30</v>
      </c>
      <c r="X6" s="131">
        <f>Исх!$C$24*X$5</f>
        <v>30</v>
      </c>
      <c r="Y6" s="131">
        <f>Исх!$C$24*Y$5</f>
        <v>48</v>
      </c>
      <c r="Z6" s="131">
        <f>Исх!$C$24*Z$5</f>
        <v>54</v>
      </c>
      <c r="AA6" s="131">
        <f>Исх!$C$24*AA$5</f>
        <v>60</v>
      </c>
      <c r="AB6" s="131">
        <f>Исх!$C$24*AB$5</f>
        <v>66</v>
      </c>
      <c r="AC6" s="131">
        <f aca="true" t="shared" si="4" ref="AC6:AC11">AVERAGE(Q6:AB6)</f>
        <v>45</v>
      </c>
      <c r="AD6" s="131">
        <f>Исх!$C$24*AD$5</f>
        <v>51</v>
      </c>
      <c r="AE6" s="131">
        <f>Исх!$C$24*AE$5</f>
        <v>57</v>
      </c>
      <c r="AF6" s="131">
        <f>Исх!$C$24*AF$5</f>
        <v>60</v>
      </c>
      <c r="AG6" s="131">
        <f>Исх!$C$24*AG$5</f>
        <v>63</v>
      </c>
      <c r="AH6" s="131">
        <f>Исх!$C$24*AH$5</f>
        <v>66</v>
      </c>
      <c r="AI6" s="131">
        <f>Исх!$C$24*AI$5</f>
        <v>69</v>
      </c>
      <c r="AJ6" s="131">
        <f>Исх!$C$24*AJ$5</f>
        <v>72</v>
      </c>
    </row>
    <row r="7" spans="1:36" ht="12.75">
      <c r="A7" s="348"/>
      <c r="B7" s="132"/>
      <c r="C7" s="131" t="str">
        <f>Дох!B6</f>
        <v>групп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>
        <f>ROUND(N6/Исх!$C$25,0)</f>
        <v>4</v>
      </c>
      <c r="O7" s="131">
        <f>ROUND(O6/Исх!$C$25,0)</f>
        <v>5</v>
      </c>
      <c r="P7" s="131">
        <f t="shared" si="3"/>
        <v>4.5</v>
      </c>
      <c r="Q7" s="131">
        <f>ROUND(Q6/Исх!$C$25,0)</f>
        <v>6</v>
      </c>
      <c r="R7" s="131">
        <f>ROUND(R6/Исх!$C$25,0)</f>
        <v>6</v>
      </c>
      <c r="S7" s="131">
        <f>ROUND(S6/Исх!$C$25,0)</f>
        <v>6</v>
      </c>
      <c r="T7" s="131">
        <f>ROUND(T6/Исх!$C$25,0)</f>
        <v>7</v>
      </c>
      <c r="U7" s="131">
        <f>ROUND(U6/Исх!$C$25,0)</f>
        <v>7</v>
      </c>
      <c r="V7" s="131">
        <f>ROUND(V6/Исх!$C$25,0)</f>
        <v>4</v>
      </c>
      <c r="W7" s="131">
        <f>ROUND(W6/Исх!$C$25,0)</f>
        <v>4</v>
      </c>
      <c r="X7" s="131">
        <f>ROUND(X6/Исх!$C$25,0)</f>
        <v>4</v>
      </c>
      <c r="Y7" s="131">
        <f>ROUND(Y6/Исх!$C$25,0)</f>
        <v>7</v>
      </c>
      <c r="Z7" s="131">
        <f>ROUND(Z6/Исх!$C$25,0)</f>
        <v>8</v>
      </c>
      <c r="AA7" s="131">
        <f>ROUND(AA6/Исх!$C$25,0)</f>
        <v>9</v>
      </c>
      <c r="AB7" s="131">
        <f>ROUND(AB6/Исх!$C$25,0)</f>
        <v>9</v>
      </c>
      <c r="AC7" s="131">
        <f t="shared" si="4"/>
        <v>6.416666666666667</v>
      </c>
      <c r="AD7" s="131">
        <f>ROUND(AD6/Исх!$C$25,0)</f>
        <v>7</v>
      </c>
      <c r="AE7" s="131">
        <f>ROUND(AE6/Исх!$C$25,0)</f>
        <v>8</v>
      </c>
      <c r="AF7" s="131">
        <f>ROUND(AF6/Исх!$C$25,0)</f>
        <v>9</v>
      </c>
      <c r="AG7" s="131">
        <f>ROUND(AG6/Исх!$C$25,0)</f>
        <v>9</v>
      </c>
      <c r="AH7" s="131">
        <f>ROUND(AH6/Исх!$C$25,0)</f>
        <v>9</v>
      </c>
      <c r="AI7" s="131">
        <f>ROUND(AI6/Исх!$C$25,0)</f>
        <v>10</v>
      </c>
      <c r="AJ7" s="131">
        <f>ROUND(AJ6/Исх!$C$25,0)</f>
        <v>10</v>
      </c>
    </row>
    <row r="8" spans="1:36" ht="12.75">
      <c r="A8" s="233" t="str">
        <f>Дох!A7</f>
        <v>Индивидуальные занятия</v>
      </c>
      <c r="B8" s="132"/>
      <c r="C8" s="131" t="str">
        <f>Дох!B7</f>
        <v>час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>
        <f>Исх!$C$27*N$5</f>
        <v>30</v>
      </c>
      <c r="O8" s="131">
        <f>Исх!$C$27*O$5</f>
        <v>36</v>
      </c>
      <c r="P8" s="131">
        <f t="shared" si="3"/>
        <v>33</v>
      </c>
      <c r="Q8" s="131">
        <f>Исх!$C$27*Q$5</f>
        <v>39</v>
      </c>
      <c r="R8" s="131">
        <f>Исх!$C$27*R$5</f>
        <v>42</v>
      </c>
      <c r="S8" s="131">
        <f>Исх!$C$27*S$5</f>
        <v>45</v>
      </c>
      <c r="T8" s="131">
        <f>Исх!$C$27*T$5</f>
        <v>48</v>
      </c>
      <c r="U8" s="131">
        <f>Исх!$C$27*U$5</f>
        <v>48</v>
      </c>
      <c r="V8" s="131">
        <f>Исх!$C$27*V$5</f>
        <v>30</v>
      </c>
      <c r="W8" s="131">
        <f>Исх!$C$27*W$5</f>
        <v>30</v>
      </c>
      <c r="X8" s="131">
        <f>Исх!$C$27*X$5</f>
        <v>30</v>
      </c>
      <c r="Y8" s="131">
        <f>Исх!$C$27*Y$5</f>
        <v>48</v>
      </c>
      <c r="Z8" s="131">
        <f>Исх!$C$27*Z$5</f>
        <v>54</v>
      </c>
      <c r="AA8" s="131">
        <f>Исх!$C$27*AA$5</f>
        <v>60</v>
      </c>
      <c r="AB8" s="131">
        <f>Исх!$C$27*AB$5</f>
        <v>66</v>
      </c>
      <c r="AC8" s="131">
        <f t="shared" si="4"/>
        <v>45</v>
      </c>
      <c r="AD8" s="131">
        <f>Исх!$C$27*AD$5</f>
        <v>51</v>
      </c>
      <c r="AE8" s="131">
        <f>Исх!$C$27*AE$5</f>
        <v>57</v>
      </c>
      <c r="AF8" s="131">
        <f>Исх!$C$27*AF$5</f>
        <v>60</v>
      </c>
      <c r="AG8" s="131">
        <f>Исх!$C$27*AG$5</f>
        <v>63</v>
      </c>
      <c r="AH8" s="131">
        <f>Исх!$C$27*AH$5</f>
        <v>66</v>
      </c>
      <c r="AI8" s="131">
        <f>Исх!$C$27*AI$5</f>
        <v>69</v>
      </c>
      <c r="AJ8" s="131">
        <f>Исх!$C$27*AJ$5</f>
        <v>72</v>
      </c>
    </row>
    <row r="9" spans="1:36" ht="25.5">
      <c r="A9" s="315" t="str">
        <f>Дох!A8</f>
        <v>Wedding program, постановка корпоративных номеров</v>
      </c>
      <c r="B9" s="132"/>
      <c r="C9" s="131" t="str">
        <f>Дох!B8</f>
        <v>пакет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>
        <f>Исх!$C28*N$5</f>
        <v>3</v>
      </c>
      <c r="O9" s="131">
        <f>Исх!$C28*O$5</f>
        <v>3.5999999999999996</v>
      </c>
      <c r="P9" s="131">
        <f t="shared" si="3"/>
        <v>3.3</v>
      </c>
      <c r="Q9" s="131">
        <f>Исх!$C28*Q$5</f>
        <v>3.9000000000000004</v>
      </c>
      <c r="R9" s="131">
        <f>Исх!$C28*R$5</f>
        <v>4.199999999999999</v>
      </c>
      <c r="S9" s="131">
        <f>Исх!$C28*S$5</f>
        <v>4.5</v>
      </c>
      <c r="T9" s="131">
        <f>Исх!$C28*T$5</f>
        <v>4.800000000000001</v>
      </c>
      <c r="U9" s="131">
        <f>Исх!$C28*U$5</f>
        <v>4.800000000000001</v>
      </c>
      <c r="V9" s="131">
        <f>Исх!$C28*V$5</f>
        <v>3</v>
      </c>
      <c r="W9" s="131">
        <f>Исх!$C28*W$5</f>
        <v>3</v>
      </c>
      <c r="X9" s="131">
        <f>Исх!$C28*X$5</f>
        <v>3</v>
      </c>
      <c r="Y9" s="131">
        <f>Исх!$C28*Y$5</f>
        <v>4.800000000000001</v>
      </c>
      <c r="Z9" s="131">
        <f>Исх!$C28*Z$5</f>
        <v>5.4</v>
      </c>
      <c r="AA9" s="131">
        <f>Исх!$C28*AA$5</f>
        <v>6</v>
      </c>
      <c r="AB9" s="131">
        <f>Исх!$C28*AB$5</f>
        <v>6.6000000000000005</v>
      </c>
      <c r="AC9" s="131">
        <f t="shared" si="4"/>
        <v>4.5</v>
      </c>
      <c r="AD9" s="131">
        <f>Исх!$C28*AD$5</f>
        <v>5.1</v>
      </c>
      <c r="AE9" s="131">
        <f>Исх!$C28*AE$5</f>
        <v>5.699999999999999</v>
      </c>
      <c r="AF9" s="131">
        <f>Исх!$C28*AF$5</f>
        <v>6</v>
      </c>
      <c r="AG9" s="131">
        <f>Исх!$C28*AG$5</f>
        <v>6.300000000000001</v>
      </c>
      <c r="AH9" s="131">
        <f>Исх!$C28*AH$5</f>
        <v>6.6000000000000005</v>
      </c>
      <c r="AI9" s="131">
        <f>Исх!$C28*AI$5</f>
        <v>6.8999999999999995</v>
      </c>
      <c r="AJ9" s="131">
        <f>Исх!$C28*AJ$5</f>
        <v>7.199999999999999</v>
      </c>
    </row>
    <row r="10" spans="1:36" ht="12.75">
      <c r="A10" s="233" t="str">
        <f>Дох!A9</f>
        <v>Аренда танцевальных залов</v>
      </c>
      <c r="B10" s="132"/>
      <c r="C10" s="131" t="str">
        <f>Дох!B9</f>
        <v>час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>
        <f>Исх!$C29*N$5</f>
        <v>45</v>
      </c>
      <c r="O10" s="131">
        <f>Исх!$C29*O$5</f>
        <v>54</v>
      </c>
      <c r="P10" s="131">
        <f t="shared" si="3"/>
        <v>49.5</v>
      </c>
      <c r="Q10" s="131">
        <f>Исх!$C29*Q$5</f>
        <v>58.5</v>
      </c>
      <c r="R10" s="131">
        <f>Исх!$C29*R$5</f>
        <v>62.99999999999999</v>
      </c>
      <c r="S10" s="131">
        <f>Исх!$C29*S$5</f>
        <v>67.5</v>
      </c>
      <c r="T10" s="131">
        <f>Исх!$C29*T$5</f>
        <v>72</v>
      </c>
      <c r="U10" s="131">
        <f>Исх!$C29*U$5</f>
        <v>72</v>
      </c>
      <c r="V10" s="131">
        <f>Исх!$C29*V$5</f>
        <v>45</v>
      </c>
      <c r="W10" s="131">
        <f>Исх!$C29*W$5</f>
        <v>45</v>
      </c>
      <c r="X10" s="131">
        <f>Исх!$C29*X$5</f>
        <v>45</v>
      </c>
      <c r="Y10" s="131">
        <f>Исх!$C29*Y$5</f>
        <v>72</v>
      </c>
      <c r="Z10" s="131">
        <f>Исх!$C29*Z$5</f>
        <v>81</v>
      </c>
      <c r="AA10" s="131">
        <f>Исх!$C29*AA$5</f>
        <v>90</v>
      </c>
      <c r="AB10" s="131">
        <f>Исх!$C29*AB$5</f>
        <v>99.00000000000001</v>
      </c>
      <c r="AC10" s="131">
        <f t="shared" si="4"/>
        <v>67.5</v>
      </c>
      <c r="AD10" s="131">
        <f>Исх!$C29*AD$5</f>
        <v>76.5</v>
      </c>
      <c r="AE10" s="131">
        <f>Исх!$C29*AE$5</f>
        <v>85.5</v>
      </c>
      <c r="AF10" s="131">
        <f>Исх!$C29*AF$5</f>
        <v>90</v>
      </c>
      <c r="AG10" s="131">
        <f>Исх!$C29*AG$5</f>
        <v>94.5</v>
      </c>
      <c r="AH10" s="131">
        <f>Исх!$C29*AH$5</f>
        <v>99.00000000000001</v>
      </c>
      <c r="AI10" s="131">
        <f>Исх!$C29*AI$5</f>
        <v>103.49999999999999</v>
      </c>
      <c r="AJ10" s="131">
        <f>Исх!$C29*AJ$5</f>
        <v>108</v>
      </c>
    </row>
    <row r="11" spans="1:36" ht="12.75">
      <c r="A11" s="233" t="str">
        <f>Дох!A10</f>
        <v>Буфет</v>
      </c>
      <c r="B11" s="132"/>
      <c r="C11" s="131" t="str">
        <f>Дох!B10</f>
        <v>чел.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>
        <f>Исх!$C30*N$5</f>
        <v>180</v>
      </c>
      <c r="O11" s="131">
        <f>Исх!$C30*O$5</f>
        <v>216</v>
      </c>
      <c r="P11" s="131">
        <f t="shared" si="3"/>
        <v>198</v>
      </c>
      <c r="Q11" s="131">
        <f>Исх!$C30*Q$5</f>
        <v>234</v>
      </c>
      <c r="R11" s="131">
        <f>Исх!$C30*R$5</f>
        <v>251.99999999999997</v>
      </c>
      <c r="S11" s="131">
        <f>Исх!$C30*S$5</f>
        <v>270</v>
      </c>
      <c r="T11" s="131">
        <f>Исх!$C30*T$5</f>
        <v>288</v>
      </c>
      <c r="U11" s="131">
        <f>Исх!$C30*U$5</f>
        <v>288</v>
      </c>
      <c r="V11" s="131">
        <f>Исх!$C30*V$5</f>
        <v>180</v>
      </c>
      <c r="W11" s="131">
        <f>Исх!$C30*W$5</f>
        <v>180</v>
      </c>
      <c r="X11" s="131">
        <f>Исх!$C30*X$5</f>
        <v>180</v>
      </c>
      <c r="Y11" s="131">
        <f>Исх!$C30*Y$5</f>
        <v>288</v>
      </c>
      <c r="Z11" s="131">
        <f>Исх!$C30*Z$5</f>
        <v>324</v>
      </c>
      <c r="AA11" s="131">
        <f>Исх!$C30*AA$5</f>
        <v>360</v>
      </c>
      <c r="AB11" s="131">
        <f>Исх!$C30*AB$5</f>
        <v>396.00000000000006</v>
      </c>
      <c r="AC11" s="131">
        <f t="shared" si="4"/>
        <v>270</v>
      </c>
      <c r="AD11" s="131">
        <f>Исх!$C30*AD$5</f>
        <v>306</v>
      </c>
      <c r="AE11" s="131">
        <f>Исх!$C30*AE$5</f>
        <v>342</v>
      </c>
      <c r="AF11" s="131">
        <f>Исх!$C30*AF$5</f>
        <v>360</v>
      </c>
      <c r="AG11" s="131">
        <f>Исх!$C30*AG$5</f>
        <v>378</v>
      </c>
      <c r="AH11" s="131">
        <f>Исх!$C30*AH$5</f>
        <v>396.00000000000006</v>
      </c>
      <c r="AI11" s="131">
        <f>Исх!$C30*AI$5</f>
        <v>413.99999999999994</v>
      </c>
      <c r="AJ11" s="131">
        <f>Исх!$C30*AJ$5</f>
        <v>432</v>
      </c>
    </row>
    <row r="13" spans="29:35" ht="12.75">
      <c r="AC13" s="261"/>
      <c r="AD13" s="260"/>
      <c r="AE13" s="260"/>
      <c r="AF13" s="260"/>
      <c r="AG13" s="260"/>
      <c r="AH13" s="260"/>
      <c r="AI13" s="260"/>
    </row>
    <row r="14" spans="29:35" ht="12.75">
      <c r="AC14" s="261"/>
      <c r="AD14" s="260"/>
      <c r="AE14" s="260"/>
      <c r="AF14" s="260"/>
      <c r="AG14" s="260"/>
      <c r="AH14" s="260"/>
      <c r="AI14" s="260"/>
    </row>
  </sheetData>
  <sheetProtection/>
  <mergeCells count="6">
    <mergeCell ref="A3:A4"/>
    <mergeCell ref="B3:B4"/>
    <mergeCell ref="D3:P3"/>
    <mergeCell ref="Q3:AC3"/>
    <mergeCell ref="C3:C4"/>
    <mergeCell ref="A6:A7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X51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C38" sqref="C38"/>
    </sheetView>
  </sheetViews>
  <sheetFormatPr defaultColWidth="8.875" defaultRowHeight="12.75" outlineLevelRow="1"/>
  <cols>
    <col min="1" max="1" width="34.625" style="77" customWidth="1"/>
    <col min="2" max="2" width="13.25390625" style="77" bestFit="1" customWidth="1"/>
    <col min="3" max="11" width="7.875" style="77" customWidth="1"/>
    <col min="12" max="12" width="25.375" style="77" customWidth="1"/>
    <col min="13" max="13" width="5.375" style="77" customWidth="1"/>
    <col min="14" max="14" width="36.25390625" style="77" customWidth="1"/>
    <col min="15" max="15" width="10.125" style="77" bestFit="1" customWidth="1"/>
    <col min="16" max="24" width="7.875" style="77" customWidth="1"/>
    <col min="25" max="16384" width="8.875" style="77" customWidth="1"/>
  </cols>
  <sheetData>
    <row r="1" spans="1:14" ht="12.75">
      <c r="A1" s="61" t="s">
        <v>136</v>
      </c>
      <c r="N1" s="61" t="s">
        <v>211</v>
      </c>
    </row>
    <row r="2" spans="1:22" ht="12.75">
      <c r="A2" s="61"/>
      <c r="B2" s="195"/>
      <c r="C2" s="195"/>
      <c r="D2" s="195"/>
      <c r="E2" s="195"/>
      <c r="F2" s="195"/>
      <c r="G2" s="195"/>
      <c r="H2" s="195"/>
      <c r="I2" s="195"/>
      <c r="N2" s="61"/>
      <c r="O2" s="195"/>
      <c r="P2" s="195"/>
      <c r="Q2" s="195"/>
      <c r="R2" s="195"/>
      <c r="S2" s="195"/>
      <c r="T2" s="195"/>
      <c r="U2" s="195"/>
      <c r="V2" s="195"/>
    </row>
    <row r="3" spans="1:24" ht="12.75">
      <c r="A3" s="61"/>
      <c r="B3" s="77" t="s">
        <v>205</v>
      </c>
      <c r="C3" s="61"/>
      <c r="D3" s="275">
        <v>0.05</v>
      </c>
      <c r="E3" s="61"/>
      <c r="F3" s="61"/>
      <c r="G3" s="61"/>
      <c r="H3" s="61"/>
      <c r="I3" s="61"/>
      <c r="J3" s="61"/>
      <c r="K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3:24" ht="12.75">
      <c r="C4" s="138"/>
      <c r="D4" s="138"/>
      <c r="E4" s="138"/>
      <c r="F4" s="138"/>
      <c r="G4" s="138"/>
      <c r="H4" s="138"/>
      <c r="K4" s="145" t="str">
        <f>Исх!C11</f>
        <v>тыс.тг.</v>
      </c>
      <c r="P4" s="138"/>
      <c r="Q4" s="138"/>
      <c r="R4" s="138"/>
      <c r="S4" s="138"/>
      <c r="T4" s="138"/>
      <c r="U4" s="138"/>
      <c r="X4" s="145" t="str">
        <f>K4</f>
        <v>тыс.тг.</v>
      </c>
    </row>
    <row r="5" spans="1:24" ht="12.75">
      <c r="A5" s="273" t="s">
        <v>39</v>
      </c>
      <c r="B5" s="264" t="s">
        <v>6</v>
      </c>
      <c r="C5" s="274">
        <v>2013</v>
      </c>
      <c r="D5" s="274">
        <f aca="true" t="shared" si="0" ref="D5:J5">C5+1</f>
        <v>2014</v>
      </c>
      <c r="E5" s="274">
        <f t="shared" si="0"/>
        <v>2015</v>
      </c>
      <c r="F5" s="274">
        <f t="shared" si="0"/>
        <v>2016</v>
      </c>
      <c r="G5" s="274">
        <f t="shared" si="0"/>
        <v>2017</v>
      </c>
      <c r="H5" s="274">
        <f t="shared" si="0"/>
        <v>2018</v>
      </c>
      <c r="I5" s="274">
        <f t="shared" si="0"/>
        <v>2019</v>
      </c>
      <c r="J5" s="274">
        <f t="shared" si="0"/>
        <v>2020</v>
      </c>
      <c r="K5" s="274">
        <f>J5+1</f>
        <v>2021</v>
      </c>
      <c r="L5" s="274" t="s">
        <v>196</v>
      </c>
      <c r="N5" s="273" t="s">
        <v>39</v>
      </c>
      <c r="O5" s="264" t="s">
        <v>6</v>
      </c>
      <c r="P5" s="274">
        <v>2013</v>
      </c>
      <c r="Q5" s="274">
        <f aca="true" t="shared" si="1" ref="Q5:X5">P5+1</f>
        <v>2014</v>
      </c>
      <c r="R5" s="274">
        <f t="shared" si="1"/>
        <v>2015</v>
      </c>
      <c r="S5" s="274">
        <f t="shared" si="1"/>
        <v>2016</v>
      </c>
      <c r="T5" s="274">
        <f t="shared" si="1"/>
        <v>2017</v>
      </c>
      <c r="U5" s="274">
        <f t="shared" si="1"/>
        <v>2018</v>
      </c>
      <c r="V5" s="274">
        <f t="shared" si="1"/>
        <v>2019</v>
      </c>
      <c r="W5" s="274">
        <f t="shared" si="1"/>
        <v>2020</v>
      </c>
      <c r="X5" s="274">
        <f t="shared" si="1"/>
        <v>2021</v>
      </c>
    </row>
    <row r="6" spans="1:24" ht="12.75">
      <c r="A6" s="259" t="s">
        <v>40</v>
      </c>
      <c r="B6" s="144">
        <f>ФОТ!K23</f>
        <v>400.52000000000004</v>
      </c>
      <c r="C6" s="144">
        <f>B6</f>
        <v>400.52000000000004</v>
      </c>
      <c r="D6" s="149">
        <f aca="true" t="shared" si="2" ref="D6:J7">C6+C6*$D$3</f>
        <v>420.54600000000005</v>
      </c>
      <c r="E6" s="149">
        <f t="shared" si="2"/>
        <v>441.5733000000001</v>
      </c>
      <c r="F6" s="149">
        <f t="shared" si="2"/>
        <v>463.6519650000001</v>
      </c>
      <c r="G6" s="149">
        <f t="shared" si="2"/>
        <v>486.8345632500001</v>
      </c>
      <c r="H6" s="149">
        <f t="shared" si="2"/>
        <v>511.17629141250006</v>
      </c>
      <c r="I6" s="149">
        <f t="shared" si="2"/>
        <v>536.7351059831251</v>
      </c>
      <c r="J6" s="149">
        <f t="shared" si="2"/>
        <v>563.5718612822814</v>
      </c>
      <c r="K6" s="149">
        <f aca="true" t="shared" si="3" ref="K6:K15">J6+J6*$D$3</f>
        <v>591.7504543463954</v>
      </c>
      <c r="L6" s="149" t="s">
        <v>235</v>
      </c>
      <c r="N6" s="259" t="str">
        <f>A6</f>
        <v>ФОТ</v>
      </c>
      <c r="O6" s="144">
        <f aca="true" t="shared" si="4" ref="O6:X6">B6*12</f>
        <v>4806.240000000001</v>
      </c>
      <c r="P6" s="144">
        <f>C6*2</f>
        <v>801.0400000000001</v>
      </c>
      <c r="Q6" s="144">
        <f t="shared" si="4"/>
        <v>5046.552000000001</v>
      </c>
      <c r="R6" s="144">
        <f t="shared" si="4"/>
        <v>5298.879600000001</v>
      </c>
      <c r="S6" s="144">
        <f t="shared" si="4"/>
        <v>5563.823580000001</v>
      </c>
      <c r="T6" s="144">
        <f t="shared" si="4"/>
        <v>5842.0147590000015</v>
      </c>
      <c r="U6" s="144">
        <f t="shared" si="4"/>
        <v>6134.11549695</v>
      </c>
      <c r="V6" s="144">
        <f t="shared" si="4"/>
        <v>6440.821271797501</v>
      </c>
      <c r="W6" s="144">
        <f t="shared" si="4"/>
        <v>6762.862335387376</v>
      </c>
      <c r="X6" s="144">
        <f t="shared" si="4"/>
        <v>7101.0054521567445</v>
      </c>
    </row>
    <row r="7" spans="1:24" ht="12.75">
      <c r="A7" s="258" t="s">
        <v>232</v>
      </c>
      <c r="B7" s="44">
        <f>Исх!C38</f>
        <v>540</v>
      </c>
      <c r="C7" s="144">
        <f>B7*0</f>
        <v>0</v>
      </c>
      <c r="D7" s="149">
        <f>B7+C7*$D$3</f>
        <v>540</v>
      </c>
      <c r="E7" s="149">
        <f>D7+D7*$D$3</f>
        <v>567</v>
      </c>
      <c r="F7" s="149">
        <f t="shared" si="2"/>
        <v>595.35</v>
      </c>
      <c r="G7" s="149">
        <f t="shared" si="2"/>
        <v>625.1175000000001</v>
      </c>
      <c r="H7" s="149">
        <f t="shared" si="2"/>
        <v>656.3733750000001</v>
      </c>
      <c r="I7" s="149">
        <f t="shared" si="2"/>
        <v>689.1920437500002</v>
      </c>
      <c r="J7" s="149">
        <f t="shared" si="2"/>
        <v>723.6516459375001</v>
      </c>
      <c r="K7" s="149">
        <f t="shared" si="3"/>
        <v>759.8342282343751</v>
      </c>
      <c r="L7" s="149" t="s">
        <v>323</v>
      </c>
      <c r="N7" s="259" t="str">
        <f aca="true" t="shared" si="5" ref="N7:N15">A7</f>
        <v>Аренда помещения</v>
      </c>
      <c r="O7" s="144">
        <f aca="true" t="shared" si="6" ref="O7:O15">B7*12</f>
        <v>6480</v>
      </c>
      <c r="P7" s="144">
        <f aca="true" t="shared" si="7" ref="P7:P15">C7*2</f>
        <v>0</v>
      </c>
      <c r="Q7" s="143">
        <f>D7*11</f>
        <v>5940</v>
      </c>
      <c r="R7" s="144">
        <f aca="true" t="shared" si="8" ref="R7:R15">E7*12</f>
        <v>6804</v>
      </c>
      <c r="S7" s="144">
        <f aca="true" t="shared" si="9" ref="S7:S15">F7*12</f>
        <v>7144.200000000001</v>
      </c>
      <c r="T7" s="144">
        <f aca="true" t="shared" si="10" ref="T7:T15">G7*12</f>
        <v>7501.410000000001</v>
      </c>
      <c r="U7" s="144">
        <f aca="true" t="shared" si="11" ref="U7:U15">H7*12</f>
        <v>7876.4805000000015</v>
      </c>
      <c r="V7" s="144">
        <f aca="true" t="shared" si="12" ref="V7:V15">I7*12</f>
        <v>8270.304525000001</v>
      </c>
      <c r="W7" s="144">
        <f aca="true" t="shared" si="13" ref="W7:W15">J7*12</f>
        <v>8683.819751250001</v>
      </c>
      <c r="X7" s="144">
        <f aca="true" t="shared" si="14" ref="X7:X15">K7*12</f>
        <v>9118.010738812502</v>
      </c>
    </row>
    <row r="8" spans="1:24" ht="12.75">
      <c r="A8" s="162" t="s">
        <v>234</v>
      </c>
      <c r="B8" s="267">
        <v>40</v>
      </c>
      <c r="C8" s="144">
        <f aca="true" t="shared" si="15" ref="C8:C15">B8</f>
        <v>40</v>
      </c>
      <c r="D8" s="149">
        <f aca="true" t="shared" si="16" ref="D8:J8">C8+C8*$D$3</f>
        <v>42</v>
      </c>
      <c r="E8" s="149">
        <f t="shared" si="16"/>
        <v>44.1</v>
      </c>
      <c r="F8" s="149">
        <f t="shared" si="16"/>
        <v>46.305</v>
      </c>
      <c r="G8" s="149">
        <f t="shared" si="16"/>
        <v>48.62025</v>
      </c>
      <c r="H8" s="149">
        <f t="shared" si="16"/>
        <v>51.0512625</v>
      </c>
      <c r="I8" s="149">
        <f t="shared" si="16"/>
        <v>53.603825625</v>
      </c>
      <c r="J8" s="149">
        <f t="shared" si="16"/>
        <v>56.28401690625</v>
      </c>
      <c r="K8" s="149">
        <f t="shared" si="3"/>
        <v>59.0982177515625</v>
      </c>
      <c r="L8" s="149"/>
      <c r="N8" s="259" t="str">
        <f t="shared" si="5"/>
        <v>Коммунальные расходы</v>
      </c>
      <c r="O8" s="144">
        <f t="shared" si="6"/>
        <v>480</v>
      </c>
      <c r="P8" s="144">
        <f t="shared" si="7"/>
        <v>80</v>
      </c>
      <c r="Q8" s="144">
        <f aca="true" t="shared" si="17" ref="Q8:Q15">D8*12</f>
        <v>504</v>
      </c>
      <c r="R8" s="144">
        <f t="shared" si="8"/>
        <v>529.2</v>
      </c>
      <c r="S8" s="144">
        <f t="shared" si="9"/>
        <v>555.66</v>
      </c>
      <c r="T8" s="144">
        <f t="shared" si="10"/>
        <v>583.443</v>
      </c>
      <c r="U8" s="144">
        <f t="shared" si="11"/>
        <v>612.61515</v>
      </c>
      <c r="V8" s="144">
        <f t="shared" si="12"/>
        <v>643.2459074999999</v>
      </c>
      <c r="W8" s="144">
        <f t="shared" si="13"/>
        <v>675.408202875</v>
      </c>
      <c r="X8" s="144">
        <f t="shared" si="14"/>
        <v>709.17861301875</v>
      </c>
    </row>
    <row r="9" spans="1:24" ht="12.75">
      <c r="A9" s="162" t="s">
        <v>197</v>
      </c>
      <c r="B9" s="267">
        <v>10</v>
      </c>
      <c r="C9" s="144">
        <f t="shared" si="15"/>
        <v>10</v>
      </c>
      <c r="D9" s="149">
        <f>C9*1.1</f>
        <v>11</v>
      </c>
      <c r="E9" s="149">
        <f>D9*1.1</f>
        <v>12.100000000000001</v>
      </c>
      <c r="F9" s="149">
        <f>E9+E9*$D$3</f>
        <v>12.705000000000002</v>
      </c>
      <c r="G9" s="149">
        <f>F9+F9*$D$3</f>
        <v>13.340250000000001</v>
      </c>
      <c r="H9" s="149">
        <f>G9+G9*$D$3</f>
        <v>14.007262500000001</v>
      </c>
      <c r="I9" s="149">
        <f>H9+H9*$D$3</f>
        <v>14.707625625000002</v>
      </c>
      <c r="J9" s="149">
        <f>I9+I9*$D$3</f>
        <v>15.443006906250002</v>
      </c>
      <c r="K9" s="149">
        <f t="shared" si="3"/>
        <v>16.215157251562502</v>
      </c>
      <c r="L9" s="149"/>
      <c r="N9" s="259" t="str">
        <f t="shared" si="5"/>
        <v>Хоз.нужды</v>
      </c>
      <c r="O9" s="144">
        <f t="shared" si="6"/>
        <v>120</v>
      </c>
      <c r="P9" s="144">
        <f t="shared" si="7"/>
        <v>20</v>
      </c>
      <c r="Q9" s="144">
        <f t="shared" si="17"/>
        <v>132</v>
      </c>
      <c r="R9" s="144">
        <f t="shared" si="8"/>
        <v>145.20000000000002</v>
      </c>
      <c r="S9" s="144">
        <f t="shared" si="9"/>
        <v>152.46000000000004</v>
      </c>
      <c r="T9" s="144">
        <f t="shared" si="10"/>
        <v>160.08300000000003</v>
      </c>
      <c r="U9" s="144">
        <f t="shared" si="11"/>
        <v>168.08715</v>
      </c>
      <c r="V9" s="144">
        <f t="shared" si="12"/>
        <v>176.4915075</v>
      </c>
      <c r="W9" s="144">
        <f t="shared" si="13"/>
        <v>185.316082875</v>
      </c>
      <c r="X9" s="144">
        <f t="shared" si="14"/>
        <v>194.58188701875002</v>
      </c>
    </row>
    <row r="10" spans="1:24" ht="12.75">
      <c r="A10" s="80" t="s">
        <v>198</v>
      </c>
      <c r="B10" s="267">
        <v>7</v>
      </c>
      <c r="C10" s="144">
        <f t="shared" si="15"/>
        <v>7</v>
      </c>
      <c r="D10" s="149">
        <f aca="true" t="shared" si="18" ref="D10:J10">C10+C10*$D$3</f>
        <v>7.35</v>
      </c>
      <c r="E10" s="149">
        <f t="shared" si="18"/>
        <v>7.717499999999999</v>
      </c>
      <c r="F10" s="149">
        <f t="shared" si="18"/>
        <v>8.103375</v>
      </c>
      <c r="G10" s="149">
        <f t="shared" si="18"/>
        <v>8.50854375</v>
      </c>
      <c r="H10" s="149">
        <f t="shared" si="18"/>
        <v>8.9339709375</v>
      </c>
      <c r="I10" s="149">
        <f t="shared" si="18"/>
        <v>9.380669484375</v>
      </c>
      <c r="J10" s="149">
        <f t="shared" si="18"/>
        <v>9.849702958593749</v>
      </c>
      <c r="K10" s="149">
        <f t="shared" si="3"/>
        <v>10.342188106523437</v>
      </c>
      <c r="L10" s="149"/>
      <c r="N10" s="259" t="str">
        <f t="shared" si="5"/>
        <v>Канц.товары</v>
      </c>
      <c r="O10" s="144">
        <f t="shared" si="6"/>
        <v>84</v>
      </c>
      <c r="P10" s="144">
        <f t="shared" si="7"/>
        <v>14</v>
      </c>
      <c r="Q10" s="144">
        <f t="shared" si="17"/>
        <v>88.19999999999999</v>
      </c>
      <c r="R10" s="144">
        <f t="shared" si="8"/>
        <v>92.60999999999999</v>
      </c>
      <c r="S10" s="144">
        <f t="shared" si="9"/>
        <v>97.2405</v>
      </c>
      <c r="T10" s="144">
        <f t="shared" si="10"/>
        <v>102.10252499999999</v>
      </c>
      <c r="U10" s="144">
        <f t="shared" si="11"/>
        <v>107.20765125</v>
      </c>
      <c r="V10" s="144">
        <f t="shared" si="12"/>
        <v>112.5680338125</v>
      </c>
      <c r="W10" s="144">
        <f t="shared" si="13"/>
        <v>118.19643550312499</v>
      </c>
      <c r="X10" s="144">
        <f t="shared" si="14"/>
        <v>124.10625727828125</v>
      </c>
    </row>
    <row r="11" spans="1:24" ht="12.75">
      <c r="A11" s="80" t="s">
        <v>209</v>
      </c>
      <c r="B11" s="267">
        <v>30</v>
      </c>
      <c r="C11" s="144">
        <f t="shared" si="15"/>
        <v>30</v>
      </c>
      <c r="D11" s="149">
        <f aca="true" t="shared" si="19" ref="D11:J11">C11+C11*$D$3</f>
        <v>31.5</v>
      </c>
      <c r="E11" s="149">
        <f t="shared" si="19"/>
        <v>33.075</v>
      </c>
      <c r="F11" s="149">
        <f t="shared" si="19"/>
        <v>34.728750000000005</v>
      </c>
      <c r="G11" s="149">
        <f t="shared" si="19"/>
        <v>36.465187500000006</v>
      </c>
      <c r="H11" s="149">
        <f t="shared" si="19"/>
        <v>38.288446875000005</v>
      </c>
      <c r="I11" s="149">
        <f t="shared" si="19"/>
        <v>40.20286921875</v>
      </c>
      <c r="J11" s="149">
        <f t="shared" si="19"/>
        <v>42.2130126796875</v>
      </c>
      <c r="K11" s="149">
        <f t="shared" si="3"/>
        <v>44.32366331367188</v>
      </c>
      <c r="L11" s="149"/>
      <c r="N11" s="259" t="str">
        <f t="shared" si="5"/>
        <v>Реклама</v>
      </c>
      <c r="O11" s="144">
        <f t="shared" si="6"/>
        <v>360</v>
      </c>
      <c r="P11" s="144">
        <f t="shared" si="7"/>
        <v>60</v>
      </c>
      <c r="Q11" s="144">
        <f t="shared" si="17"/>
        <v>378</v>
      </c>
      <c r="R11" s="144">
        <f t="shared" si="8"/>
        <v>396.90000000000003</v>
      </c>
      <c r="S11" s="144">
        <f t="shared" si="9"/>
        <v>416.74500000000006</v>
      </c>
      <c r="T11" s="144">
        <f t="shared" si="10"/>
        <v>437.58225000000004</v>
      </c>
      <c r="U11" s="144">
        <f t="shared" si="11"/>
        <v>459.46136250000006</v>
      </c>
      <c r="V11" s="144">
        <f t="shared" si="12"/>
        <v>482.434430625</v>
      </c>
      <c r="W11" s="144">
        <f t="shared" si="13"/>
        <v>506.55615215625005</v>
      </c>
      <c r="X11" s="144">
        <f t="shared" si="14"/>
        <v>531.8839597640625</v>
      </c>
    </row>
    <row r="12" spans="1:24" ht="12.75">
      <c r="A12" s="80" t="s">
        <v>206</v>
      </c>
      <c r="B12" s="267">
        <v>2</v>
      </c>
      <c r="C12" s="144">
        <f t="shared" si="15"/>
        <v>2</v>
      </c>
      <c r="D12" s="149">
        <f aca="true" t="shared" si="20" ref="D12:J12">C12+C12*$D$3</f>
        <v>2.1</v>
      </c>
      <c r="E12" s="149">
        <f t="shared" si="20"/>
        <v>2.205</v>
      </c>
      <c r="F12" s="149">
        <f t="shared" si="20"/>
        <v>2.3152500000000003</v>
      </c>
      <c r="G12" s="149">
        <f t="shared" si="20"/>
        <v>2.4310125000000005</v>
      </c>
      <c r="H12" s="149">
        <f t="shared" si="20"/>
        <v>2.5525631250000007</v>
      </c>
      <c r="I12" s="149">
        <f t="shared" si="20"/>
        <v>2.680191281250001</v>
      </c>
      <c r="J12" s="149">
        <f t="shared" si="20"/>
        <v>2.814200845312501</v>
      </c>
      <c r="K12" s="149">
        <f t="shared" si="3"/>
        <v>2.954910887578126</v>
      </c>
      <c r="L12" s="149"/>
      <c r="N12" s="259" t="str">
        <f t="shared" si="5"/>
        <v>Услуги связи</v>
      </c>
      <c r="O12" s="144">
        <f t="shared" si="6"/>
        <v>24</v>
      </c>
      <c r="P12" s="144">
        <f t="shared" si="7"/>
        <v>4</v>
      </c>
      <c r="Q12" s="144">
        <f t="shared" si="17"/>
        <v>25.200000000000003</v>
      </c>
      <c r="R12" s="144">
        <f t="shared" si="8"/>
        <v>26.46</v>
      </c>
      <c r="S12" s="144">
        <f t="shared" si="9"/>
        <v>27.783</v>
      </c>
      <c r="T12" s="144">
        <f t="shared" si="10"/>
        <v>29.172150000000006</v>
      </c>
      <c r="U12" s="144">
        <f t="shared" si="11"/>
        <v>30.63075750000001</v>
      </c>
      <c r="V12" s="144">
        <f t="shared" si="12"/>
        <v>32.162295375000014</v>
      </c>
      <c r="W12" s="144">
        <f t="shared" si="13"/>
        <v>33.77041014375001</v>
      </c>
      <c r="X12" s="144">
        <f t="shared" si="14"/>
        <v>35.45893065093751</v>
      </c>
    </row>
    <row r="13" spans="1:24" ht="12.75">
      <c r="A13" s="80" t="s">
        <v>200</v>
      </c>
      <c r="B13" s="267">
        <f>4.5</f>
        <v>4.5</v>
      </c>
      <c r="C13" s="144">
        <f>B13</f>
        <v>4.5</v>
      </c>
      <c r="D13" s="149">
        <f aca="true" t="shared" si="21" ref="D13:K13">C13+C13*$D$3</f>
        <v>4.725</v>
      </c>
      <c r="E13" s="149">
        <f t="shared" si="21"/>
        <v>4.96125</v>
      </c>
      <c r="F13" s="149">
        <f t="shared" si="21"/>
        <v>5.209312499999999</v>
      </c>
      <c r="G13" s="149">
        <f t="shared" si="21"/>
        <v>5.4697781249999995</v>
      </c>
      <c r="H13" s="149">
        <f t="shared" si="21"/>
        <v>5.743267031249999</v>
      </c>
      <c r="I13" s="149">
        <f t="shared" si="21"/>
        <v>6.030430382812499</v>
      </c>
      <c r="J13" s="149">
        <f t="shared" si="21"/>
        <v>6.331951901953124</v>
      </c>
      <c r="K13" s="149">
        <f t="shared" si="21"/>
        <v>6.64854949705078</v>
      </c>
      <c r="L13" s="149" t="s">
        <v>238</v>
      </c>
      <c r="N13" s="259" t="str">
        <f>A13</f>
        <v>Интернет</v>
      </c>
      <c r="O13" s="144">
        <f>B13*12</f>
        <v>54</v>
      </c>
      <c r="P13" s="144">
        <f t="shared" si="7"/>
        <v>9</v>
      </c>
      <c r="Q13" s="144">
        <f t="shared" si="17"/>
        <v>56.699999999999996</v>
      </c>
      <c r="R13" s="144">
        <f t="shared" si="8"/>
        <v>59.535</v>
      </c>
      <c r="S13" s="144">
        <f t="shared" si="9"/>
        <v>62.51174999999999</v>
      </c>
      <c r="T13" s="144">
        <f t="shared" si="10"/>
        <v>65.6373375</v>
      </c>
      <c r="U13" s="144">
        <f t="shared" si="11"/>
        <v>68.91920437499999</v>
      </c>
      <c r="V13" s="144">
        <f t="shared" si="12"/>
        <v>72.36516459375</v>
      </c>
      <c r="W13" s="144">
        <f t="shared" si="13"/>
        <v>75.98342282343748</v>
      </c>
      <c r="X13" s="144">
        <f t="shared" si="14"/>
        <v>79.78259396460936</v>
      </c>
    </row>
    <row r="14" spans="1:24" ht="12.75">
      <c r="A14" s="162" t="s">
        <v>93</v>
      </c>
      <c r="B14" s="267">
        <v>7</v>
      </c>
      <c r="C14" s="144">
        <f t="shared" si="15"/>
        <v>7</v>
      </c>
      <c r="D14" s="149">
        <f aca="true" t="shared" si="22" ref="D14:J14">C14+C14*$D$3</f>
        <v>7.35</v>
      </c>
      <c r="E14" s="149">
        <f t="shared" si="22"/>
        <v>7.717499999999999</v>
      </c>
      <c r="F14" s="149">
        <f t="shared" si="22"/>
        <v>8.103375</v>
      </c>
      <c r="G14" s="149">
        <f t="shared" si="22"/>
        <v>8.50854375</v>
      </c>
      <c r="H14" s="149">
        <f t="shared" si="22"/>
        <v>8.9339709375</v>
      </c>
      <c r="I14" s="149">
        <f t="shared" si="22"/>
        <v>9.380669484375</v>
      </c>
      <c r="J14" s="149">
        <f t="shared" si="22"/>
        <v>9.849702958593749</v>
      </c>
      <c r="K14" s="149">
        <f t="shared" si="3"/>
        <v>10.342188106523437</v>
      </c>
      <c r="L14" s="149" t="s">
        <v>239</v>
      </c>
      <c r="N14" s="259" t="str">
        <f t="shared" si="5"/>
        <v>Услуги банка</v>
      </c>
      <c r="O14" s="144">
        <f t="shared" si="6"/>
        <v>84</v>
      </c>
      <c r="P14" s="144">
        <f t="shared" si="7"/>
        <v>14</v>
      </c>
      <c r="Q14" s="144">
        <f t="shared" si="17"/>
        <v>88.19999999999999</v>
      </c>
      <c r="R14" s="144">
        <f t="shared" si="8"/>
        <v>92.60999999999999</v>
      </c>
      <c r="S14" s="144">
        <f t="shared" si="9"/>
        <v>97.2405</v>
      </c>
      <c r="T14" s="144">
        <f t="shared" si="10"/>
        <v>102.10252499999999</v>
      </c>
      <c r="U14" s="144">
        <f t="shared" si="11"/>
        <v>107.20765125</v>
      </c>
      <c r="V14" s="144">
        <f t="shared" si="12"/>
        <v>112.5680338125</v>
      </c>
      <c r="W14" s="144">
        <f t="shared" si="13"/>
        <v>118.19643550312499</v>
      </c>
      <c r="X14" s="144">
        <f t="shared" si="14"/>
        <v>124.10625727828125</v>
      </c>
    </row>
    <row r="15" spans="1:24" ht="12.75">
      <c r="A15" s="80" t="s">
        <v>199</v>
      </c>
      <c r="B15" s="267">
        <v>10</v>
      </c>
      <c r="C15" s="144">
        <f t="shared" si="15"/>
        <v>10</v>
      </c>
      <c r="D15" s="149">
        <f aca="true" t="shared" si="23" ref="D15:J15">C15+C15*$D$3</f>
        <v>10.5</v>
      </c>
      <c r="E15" s="149">
        <f t="shared" si="23"/>
        <v>11.025</v>
      </c>
      <c r="F15" s="149">
        <f t="shared" si="23"/>
        <v>11.57625</v>
      </c>
      <c r="G15" s="149">
        <f t="shared" si="23"/>
        <v>12.1550625</v>
      </c>
      <c r="H15" s="149">
        <f t="shared" si="23"/>
        <v>12.762815625</v>
      </c>
      <c r="I15" s="149">
        <f t="shared" si="23"/>
        <v>13.40095640625</v>
      </c>
      <c r="J15" s="149">
        <f t="shared" si="23"/>
        <v>14.0710042265625</v>
      </c>
      <c r="K15" s="149">
        <f t="shared" si="3"/>
        <v>14.774554437890625</v>
      </c>
      <c r="L15" s="149"/>
      <c r="N15" s="259" t="str">
        <f t="shared" si="5"/>
        <v>Прочие</v>
      </c>
      <c r="O15" s="144">
        <f t="shared" si="6"/>
        <v>120</v>
      </c>
      <c r="P15" s="144">
        <f t="shared" si="7"/>
        <v>20</v>
      </c>
      <c r="Q15" s="144">
        <f t="shared" si="17"/>
        <v>126</v>
      </c>
      <c r="R15" s="144">
        <f t="shared" si="8"/>
        <v>132.3</v>
      </c>
      <c r="S15" s="144">
        <f t="shared" si="9"/>
        <v>138.915</v>
      </c>
      <c r="T15" s="144">
        <f t="shared" si="10"/>
        <v>145.86075</v>
      </c>
      <c r="U15" s="144">
        <f t="shared" si="11"/>
        <v>153.1537875</v>
      </c>
      <c r="V15" s="144">
        <f t="shared" si="12"/>
        <v>160.81147687499998</v>
      </c>
      <c r="W15" s="144">
        <f t="shared" si="13"/>
        <v>168.85205071875</v>
      </c>
      <c r="X15" s="144">
        <f t="shared" si="14"/>
        <v>177.2946532546875</v>
      </c>
    </row>
    <row r="16" spans="1:24" ht="12.75">
      <c r="A16" s="212" t="s">
        <v>0</v>
      </c>
      <c r="B16" s="213">
        <f aca="true" t="shared" si="24" ref="B16:K16">SUM(B6:B15)</f>
        <v>1051.02</v>
      </c>
      <c r="C16" s="213">
        <f t="shared" si="24"/>
        <v>511.02000000000004</v>
      </c>
      <c r="D16" s="213">
        <f t="shared" si="24"/>
        <v>1077.071</v>
      </c>
      <c r="E16" s="213">
        <f t="shared" si="24"/>
        <v>1131.47455</v>
      </c>
      <c r="F16" s="213">
        <f t="shared" si="24"/>
        <v>1188.0482775</v>
      </c>
      <c r="G16" s="213">
        <f t="shared" si="24"/>
        <v>1247.450691375</v>
      </c>
      <c r="H16" s="213">
        <f t="shared" si="24"/>
        <v>1309.8232259437502</v>
      </c>
      <c r="I16" s="213">
        <f t="shared" si="24"/>
        <v>1375.3143872409375</v>
      </c>
      <c r="J16" s="213">
        <f t="shared" si="24"/>
        <v>1444.0801066029846</v>
      </c>
      <c r="K16" s="213">
        <f t="shared" si="24"/>
        <v>1516.2841119331338</v>
      </c>
      <c r="L16" s="213"/>
      <c r="N16" s="212" t="s">
        <v>0</v>
      </c>
      <c r="O16" s="213">
        <f aca="true" t="shared" si="25" ref="O16:X16">SUM(O6:O15)</f>
        <v>12612.240000000002</v>
      </c>
      <c r="P16" s="213">
        <f t="shared" si="25"/>
        <v>1022.0400000000001</v>
      </c>
      <c r="Q16" s="213">
        <f t="shared" si="25"/>
        <v>12384.852000000003</v>
      </c>
      <c r="R16" s="213">
        <f t="shared" si="25"/>
        <v>13577.6946</v>
      </c>
      <c r="S16" s="213">
        <f t="shared" si="25"/>
        <v>14256.57933</v>
      </c>
      <c r="T16" s="213">
        <f t="shared" si="25"/>
        <v>14969.408296500002</v>
      </c>
      <c r="U16" s="213">
        <f t="shared" si="25"/>
        <v>15717.878711325002</v>
      </c>
      <c r="V16" s="213">
        <f t="shared" si="25"/>
        <v>16503.772646891255</v>
      </c>
      <c r="W16" s="213">
        <f t="shared" si="25"/>
        <v>17328.96127923581</v>
      </c>
      <c r="X16" s="213">
        <f t="shared" si="25"/>
        <v>18195.40934319761</v>
      </c>
    </row>
    <row r="18" spans="1:24" ht="12.75">
      <c r="A18" s="61" t="s">
        <v>71</v>
      </c>
      <c r="C18" s="164">
        <f aca="true" t="shared" si="26" ref="C18:K18">SUM(C19:C19)</f>
        <v>2.0026</v>
      </c>
      <c r="D18" s="164">
        <f t="shared" si="26"/>
        <v>2.10273</v>
      </c>
      <c r="E18" s="164">
        <f t="shared" si="26"/>
        <v>2.2078665000000006</v>
      </c>
      <c r="F18" s="164">
        <f t="shared" si="26"/>
        <v>2.3182598250000006</v>
      </c>
      <c r="G18" s="164">
        <f t="shared" si="26"/>
        <v>2.4341728162500007</v>
      </c>
      <c r="H18" s="164">
        <f t="shared" si="26"/>
        <v>2.5558814570625006</v>
      </c>
      <c r="I18" s="164">
        <f t="shared" si="26"/>
        <v>2.6836755299156256</v>
      </c>
      <c r="J18" s="164">
        <f t="shared" si="26"/>
        <v>2.817859306411407</v>
      </c>
      <c r="K18" s="164">
        <f t="shared" si="26"/>
        <v>2.958752271731977</v>
      </c>
      <c r="N18" s="61" t="s">
        <v>71</v>
      </c>
      <c r="P18" s="164">
        <f aca="true" t="shared" si="27" ref="P18:X18">SUM(P19:P19)</f>
        <v>4.0052</v>
      </c>
      <c r="Q18" s="164">
        <f t="shared" si="27"/>
        <v>25.232760000000003</v>
      </c>
      <c r="R18" s="164">
        <f t="shared" si="27"/>
        <v>26.494398000000007</v>
      </c>
      <c r="S18" s="164">
        <f t="shared" si="27"/>
        <v>27.81911790000001</v>
      </c>
      <c r="T18" s="164">
        <f t="shared" si="27"/>
        <v>29.210073795000007</v>
      </c>
      <c r="U18" s="164">
        <f t="shared" si="27"/>
        <v>30.670577484750005</v>
      </c>
      <c r="V18" s="164">
        <f t="shared" si="27"/>
        <v>32.20410635898751</v>
      </c>
      <c r="W18" s="164">
        <f t="shared" si="27"/>
        <v>33.81431167693688</v>
      </c>
      <c r="X18" s="164">
        <f t="shared" si="27"/>
        <v>35.50502726078372</v>
      </c>
    </row>
    <row r="19" spans="1:24" ht="25.5">
      <c r="A19" s="162" t="s">
        <v>72</v>
      </c>
      <c r="B19" s="165">
        <v>0.005</v>
      </c>
      <c r="C19" s="166">
        <f aca="true" t="shared" si="28" ref="C19:K19">C6*$B$19</f>
        <v>2.0026</v>
      </c>
      <c r="D19" s="166">
        <f t="shared" si="28"/>
        <v>2.10273</v>
      </c>
      <c r="E19" s="166">
        <f t="shared" si="28"/>
        <v>2.2078665000000006</v>
      </c>
      <c r="F19" s="166">
        <f t="shared" si="28"/>
        <v>2.3182598250000006</v>
      </c>
      <c r="G19" s="166">
        <f t="shared" si="28"/>
        <v>2.4341728162500007</v>
      </c>
      <c r="H19" s="166">
        <f t="shared" si="28"/>
        <v>2.5558814570625006</v>
      </c>
      <c r="I19" s="166">
        <f t="shared" si="28"/>
        <v>2.6836755299156256</v>
      </c>
      <c r="J19" s="166">
        <f t="shared" si="28"/>
        <v>2.817859306411407</v>
      </c>
      <c r="K19" s="166">
        <f t="shared" si="28"/>
        <v>2.958752271731977</v>
      </c>
      <c r="N19" s="162" t="str">
        <f>A19</f>
        <v>Стр-е гражданско-правовой ответ-ти работодателя</v>
      </c>
      <c r="O19" s="168">
        <f>B19</f>
        <v>0.005</v>
      </c>
      <c r="P19" s="166">
        <f>C19*2</f>
        <v>4.0052</v>
      </c>
      <c r="Q19" s="166">
        <f aca="true" t="shared" si="29" ref="Q19:X19">D19*12</f>
        <v>25.232760000000003</v>
      </c>
      <c r="R19" s="166">
        <f t="shared" si="29"/>
        <v>26.494398000000007</v>
      </c>
      <c r="S19" s="166">
        <f t="shared" si="29"/>
        <v>27.81911790000001</v>
      </c>
      <c r="T19" s="166">
        <f t="shared" si="29"/>
        <v>29.210073795000007</v>
      </c>
      <c r="U19" s="166">
        <f t="shared" si="29"/>
        <v>30.670577484750005</v>
      </c>
      <c r="V19" s="166">
        <f t="shared" si="29"/>
        <v>32.20410635898751</v>
      </c>
      <c r="W19" s="166">
        <f t="shared" si="29"/>
        <v>33.81431167693688</v>
      </c>
      <c r="X19" s="166">
        <f t="shared" si="29"/>
        <v>35.50502726078372</v>
      </c>
    </row>
    <row r="21" spans="1:24" ht="12.75">
      <c r="A21" s="61" t="s">
        <v>73</v>
      </c>
      <c r="C21" s="167">
        <f>SUM(C22:C23)</f>
        <v>2</v>
      </c>
      <c r="D21" s="167">
        <f aca="true" t="shared" si="30" ref="D21:I21">SUM(D22:D23)</f>
        <v>2.1</v>
      </c>
      <c r="E21" s="167">
        <f t="shared" si="30"/>
        <v>2.205</v>
      </c>
      <c r="F21" s="167">
        <f t="shared" si="30"/>
        <v>2.3152500000000003</v>
      </c>
      <c r="G21" s="167">
        <f t="shared" si="30"/>
        <v>2.4310125000000005</v>
      </c>
      <c r="H21" s="167">
        <f t="shared" si="30"/>
        <v>2.5525631250000007</v>
      </c>
      <c r="I21" s="167">
        <f t="shared" si="30"/>
        <v>2.680191281250001</v>
      </c>
      <c r="J21" s="167">
        <f>SUM(J22:J23)</f>
        <v>2.814200845312501</v>
      </c>
      <c r="K21" s="167">
        <f>SUM(K22:K23)</f>
        <v>2.954910887578126</v>
      </c>
      <c r="N21" s="61" t="s">
        <v>73</v>
      </c>
      <c r="P21" s="167">
        <f>SUM(P22:P23)</f>
        <v>4</v>
      </c>
      <c r="Q21" s="167">
        <f aca="true" t="shared" si="31" ref="Q21:V21">SUM(Q22:Q23)</f>
        <v>25.200000000000003</v>
      </c>
      <c r="R21" s="167">
        <f t="shared" si="31"/>
        <v>26.46</v>
      </c>
      <c r="S21" s="167">
        <f t="shared" si="31"/>
        <v>27.783</v>
      </c>
      <c r="T21" s="167">
        <f t="shared" si="31"/>
        <v>29.172150000000006</v>
      </c>
      <c r="U21" s="167">
        <f t="shared" si="31"/>
        <v>30.63075750000001</v>
      </c>
      <c r="V21" s="167">
        <f t="shared" si="31"/>
        <v>32.162295375000014</v>
      </c>
      <c r="W21" s="167">
        <f>SUM(W22:W23)</f>
        <v>33.77041014375001</v>
      </c>
      <c r="X21" s="167">
        <f>SUM(X22:X23)</f>
        <v>35.45893065093751</v>
      </c>
    </row>
    <row r="22" spans="1:24" ht="12.75" hidden="1">
      <c r="A22" s="80" t="s">
        <v>1</v>
      </c>
      <c r="B22" s="168">
        <f>Исх!C18*0</f>
        <v>0</v>
      </c>
      <c r="C22" s="149">
        <f aca="true" t="shared" si="32" ref="C22:K22">(C35+C38)/2*$B$22/12</f>
        <v>0</v>
      </c>
      <c r="D22" s="149">
        <f t="shared" si="32"/>
        <v>0</v>
      </c>
      <c r="E22" s="149">
        <f t="shared" si="32"/>
        <v>0</v>
      </c>
      <c r="F22" s="149">
        <f t="shared" si="32"/>
        <v>0</v>
      </c>
      <c r="G22" s="149">
        <f t="shared" si="32"/>
        <v>0</v>
      </c>
      <c r="H22" s="149">
        <f t="shared" si="32"/>
        <v>0</v>
      </c>
      <c r="I22" s="149">
        <f t="shared" si="32"/>
        <v>0</v>
      </c>
      <c r="J22" s="149">
        <f t="shared" si="32"/>
        <v>0</v>
      </c>
      <c r="K22" s="149">
        <f t="shared" si="32"/>
        <v>0</v>
      </c>
      <c r="N22" s="80" t="s">
        <v>1</v>
      </c>
      <c r="O22" s="168">
        <f>B22</f>
        <v>0</v>
      </c>
      <c r="P22" s="149">
        <f>C22*12</f>
        <v>0</v>
      </c>
      <c r="Q22" s="149">
        <f aca="true" t="shared" si="33" ref="Q22:X23">D22*12</f>
        <v>0</v>
      </c>
      <c r="R22" s="149">
        <f t="shared" si="33"/>
        <v>0</v>
      </c>
      <c r="S22" s="149">
        <f t="shared" si="33"/>
        <v>0</v>
      </c>
      <c r="T22" s="149">
        <f t="shared" si="33"/>
        <v>0</v>
      </c>
      <c r="U22" s="149">
        <f t="shared" si="33"/>
        <v>0</v>
      </c>
      <c r="V22" s="149">
        <f t="shared" si="33"/>
        <v>0</v>
      </c>
      <c r="W22" s="149">
        <f t="shared" si="33"/>
        <v>0</v>
      </c>
      <c r="X22" s="149">
        <f t="shared" si="33"/>
        <v>0</v>
      </c>
    </row>
    <row r="23" spans="1:24" ht="12.75">
      <c r="A23" s="80" t="s">
        <v>210</v>
      </c>
      <c r="B23" s="80"/>
      <c r="C23" s="143">
        <v>2</v>
      </c>
      <c r="D23" s="149">
        <f aca="true" t="shared" si="34" ref="D23:J23">C23+C23*$D$3</f>
        <v>2.1</v>
      </c>
      <c r="E23" s="149">
        <f t="shared" si="34"/>
        <v>2.205</v>
      </c>
      <c r="F23" s="149">
        <f t="shared" si="34"/>
        <v>2.3152500000000003</v>
      </c>
      <c r="G23" s="149">
        <f t="shared" si="34"/>
        <v>2.4310125000000005</v>
      </c>
      <c r="H23" s="149">
        <f t="shared" si="34"/>
        <v>2.5525631250000007</v>
      </c>
      <c r="I23" s="149">
        <f t="shared" si="34"/>
        <v>2.680191281250001</v>
      </c>
      <c r="J23" s="149">
        <f t="shared" si="34"/>
        <v>2.814200845312501</v>
      </c>
      <c r="K23" s="149">
        <f>J23+J23*$D$3</f>
        <v>2.954910887578126</v>
      </c>
      <c r="N23" s="80" t="s">
        <v>210</v>
      </c>
      <c r="O23" s="80"/>
      <c r="P23" s="149">
        <f>C23*2</f>
        <v>4</v>
      </c>
      <c r="Q23" s="149">
        <f t="shared" si="33"/>
        <v>25.200000000000003</v>
      </c>
      <c r="R23" s="149">
        <f t="shared" si="33"/>
        <v>26.46</v>
      </c>
      <c r="S23" s="149">
        <f t="shared" si="33"/>
        <v>27.783</v>
      </c>
      <c r="T23" s="149">
        <f t="shared" si="33"/>
        <v>29.172150000000006</v>
      </c>
      <c r="U23" s="149">
        <f t="shared" si="33"/>
        <v>30.63075750000001</v>
      </c>
      <c r="V23" s="149">
        <f t="shared" si="33"/>
        <v>32.162295375000014</v>
      </c>
      <c r="W23" s="149">
        <f t="shared" si="33"/>
        <v>33.77041014375001</v>
      </c>
      <c r="X23" s="149">
        <f t="shared" si="33"/>
        <v>35.45893065093751</v>
      </c>
    </row>
    <row r="25" spans="3:16" ht="12.75">
      <c r="C25" s="169"/>
      <c r="P25" s="169"/>
    </row>
    <row r="26" spans="1:16" ht="12.75">
      <c r="A26" s="280" t="s">
        <v>74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P26" s="169"/>
    </row>
    <row r="27" spans="1:16" ht="12.75">
      <c r="A27" s="139" t="s">
        <v>80</v>
      </c>
      <c r="B27" s="140"/>
      <c r="C27" s="140">
        <f aca="true" t="shared" si="35" ref="C27:K27">C5</f>
        <v>2013</v>
      </c>
      <c r="D27" s="140">
        <f t="shared" si="35"/>
        <v>2014</v>
      </c>
      <c r="E27" s="140">
        <f t="shared" si="35"/>
        <v>2015</v>
      </c>
      <c r="F27" s="140">
        <f t="shared" si="35"/>
        <v>2016</v>
      </c>
      <c r="G27" s="140">
        <f t="shared" si="35"/>
        <v>2017</v>
      </c>
      <c r="H27" s="140">
        <f t="shared" si="35"/>
        <v>2018</v>
      </c>
      <c r="I27" s="140">
        <f t="shared" si="35"/>
        <v>2019</v>
      </c>
      <c r="J27" s="140">
        <f t="shared" si="35"/>
        <v>2020</v>
      </c>
      <c r="K27" s="140">
        <f t="shared" si="35"/>
        <v>2021</v>
      </c>
      <c r="P27" s="169"/>
    </row>
    <row r="28" spans="1:16" ht="12.75">
      <c r="A28" s="80" t="s">
        <v>75</v>
      </c>
      <c r="B28" s="170"/>
      <c r="C28" s="80"/>
      <c r="D28" s="80"/>
      <c r="E28" s="80"/>
      <c r="F28" s="80"/>
      <c r="G28" s="80"/>
      <c r="H28" s="80"/>
      <c r="I28" s="80"/>
      <c r="J28" s="80"/>
      <c r="K28" s="80"/>
      <c r="P28" s="169"/>
    </row>
    <row r="29" spans="1:16" ht="12.75">
      <c r="A29" s="80" t="s">
        <v>76</v>
      </c>
      <c r="B29" s="171"/>
      <c r="C29" s="149">
        <f>C35+C41+C47</f>
        <v>0</v>
      </c>
      <c r="D29" s="149">
        <f aca="true" t="shared" si="36" ref="D29:I29">D35+D41+D47</f>
        <v>8492.229166666666</v>
      </c>
      <c r="E29" s="149">
        <f t="shared" si="36"/>
        <v>7599.604166666666</v>
      </c>
      <c r="F29" s="149">
        <f t="shared" si="36"/>
        <v>6706.979166666666</v>
      </c>
      <c r="G29" s="149">
        <f t="shared" si="36"/>
        <v>5814.354166666666</v>
      </c>
      <c r="H29" s="149">
        <f t="shared" si="36"/>
        <v>4921.729166666666</v>
      </c>
      <c r="I29" s="149">
        <f t="shared" si="36"/>
        <v>4029.1041666666665</v>
      </c>
      <c r="J29" s="149">
        <f aca="true" t="shared" si="37" ref="J29:K31">J35+J41+J47</f>
        <v>3136.4791666666665</v>
      </c>
      <c r="K29" s="149">
        <f t="shared" si="37"/>
        <v>2243.8541666666665</v>
      </c>
      <c r="P29" s="169"/>
    </row>
    <row r="30" spans="1:16" ht="12.75">
      <c r="A30" s="80" t="s">
        <v>77</v>
      </c>
      <c r="B30" s="171"/>
      <c r="C30" s="149">
        <f>C36+C42+C48</f>
        <v>8641</v>
      </c>
      <c r="D30" s="149">
        <f aca="true" t="shared" si="38" ref="D30:I30">D36+D42+D48</f>
        <v>0</v>
      </c>
      <c r="E30" s="149">
        <f t="shared" si="38"/>
        <v>0</v>
      </c>
      <c r="F30" s="149">
        <f t="shared" si="38"/>
        <v>0</v>
      </c>
      <c r="G30" s="149">
        <f t="shared" si="38"/>
        <v>0</v>
      </c>
      <c r="H30" s="149">
        <f t="shared" si="38"/>
        <v>0</v>
      </c>
      <c r="I30" s="149">
        <f t="shared" si="38"/>
        <v>0</v>
      </c>
      <c r="J30" s="149">
        <f t="shared" si="37"/>
        <v>0</v>
      </c>
      <c r="K30" s="149">
        <f t="shared" si="37"/>
        <v>0</v>
      </c>
      <c r="P30" s="169"/>
    </row>
    <row r="31" spans="1:16" ht="12.75">
      <c r="A31" s="151" t="s">
        <v>78</v>
      </c>
      <c r="B31" s="151"/>
      <c r="C31" s="150">
        <f>C37+C43+C49</f>
        <v>148.77083333333331</v>
      </c>
      <c r="D31" s="150">
        <f aca="true" t="shared" si="39" ref="D31:I31">D37+D43+D49</f>
        <v>892.625</v>
      </c>
      <c r="E31" s="150">
        <f t="shared" si="39"/>
        <v>892.625</v>
      </c>
      <c r="F31" s="150">
        <f t="shared" si="39"/>
        <v>892.625</v>
      </c>
      <c r="G31" s="150">
        <f t="shared" si="39"/>
        <v>892.625</v>
      </c>
      <c r="H31" s="150">
        <f t="shared" si="39"/>
        <v>892.625</v>
      </c>
      <c r="I31" s="150">
        <f t="shared" si="39"/>
        <v>892.625</v>
      </c>
      <c r="J31" s="150">
        <f t="shared" si="37"/>
        <v>892.625</v>
      </c>
      <c r="K31" s="150">
        <f t="shared" si="37"/>
        <v>892.625</v>
      </c>
      <c r="P31" s="169"/>
    </row>
    <row r="32" spans="1:16" ht="12.75">
      <c r="A32" s="80" t="s">
        <v>79</v>
      </c>
      <c r="B32" s="171"/>
      <c r="C32" s="149">
        <f aca="true" t="shared" si="40" ref="C32:I32">C29+C30-C31</f>
        <v>8492.229166666666</v>
      </c>
      <c r="D32" s="149">
        <f t="shared" si="40"/>
        <v>7599.604166666666</v>
      </c>
      <c r="E32" s="149">
        <f t="shared" si="40"/>
        <v>6706.979166666666</v>
      </c>
      <c r="F32" s="149">
        <f t="shared" si="40"/>
        <v>5814.354166666666</v>
      </c>
      <c r="G32" s="149">
        <f t="shared" si="40"/>
        <v>4921.729166666666</v>
      </c>
      <c r="H32" s="149">
        <f t="shared" si="40"/>
        <v>4029.104166666666</v>
      </c>
      <c r="I32" s="149">
        <f t="shared" si="40"/>
        <v>3136.4791666666665</v>
      </c>
      <c r="J32" s="149">
        <f>J29+J30-J31</f>
        <v>2243.8541666666665</v>
      </c>
      <c r="K32" s="149">
        <f>K29+K30-K31</f>
        <v>1351.2291666666665</v>
      </c>
      <c r="P32" s="169"/>
    </row>
    <row r="33" spans="1:16" ht="12.75" hidden="1" outlineLevel="1">
      <c r="A33" s="78" t="s">
        <v>101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P33" s="169"/>
    </row>
    <row r="34" spans="1:16" ht="12.75" hidden="1" outlineLevel="1">
      <c r="A34" s="80" t="s">
        <v>75</v>
      </c>
      <c r="B34" s="165">
        <f>100%/12</f>
        <v>0.08333333333333333</v>
      </c>
      <c r="C34" s="80"/>
      <c r="D34" s="80"/>
      <c r="E34" s="80"/>
      <c r="F34" s="80"/>
      <c r="G34" s="80"/>
      <c r="H34" s="80"/>
      <c r="I34" s="80"/>
      <c r="J34" s="80"/>
      <c r="K34" s="80"/>
      <c r="P34" s="169"/>
    </row>
    <row r="35" spans="1:16" ht="12.75" hidden="1" outlineLevel="1">
      <c r="A35" s="80" t="s">
        <v>76</v>
      </c>
      <c r="B35" s="171"/>
      <c r="C35" s="144"/>
      <c r="D35" s="149">
        <f aca="true" t="shared" si="41" ref="D35:J35">C38</f>
        <v>4437.5</v>
      </c>
      <c r="E35" s="149">
        <f t="shared" si="41"/>
        <v>4062.5</v>
      </c>
      <c r="F35" s="149">
        <f t="shared" si="41"/>
        <v>3687.5</v>
      </c>
      <c r="G35" s="149">
        <f t="shared" si="41"/>
        <v>3312.5</v>
      </c>
      <c r="H35" s="149">
        <f t="shared" si="41"/>
        <v>2937.5</v>
      </c>
      <c r="I35" s="149">
        <f t="shared" si="41"/>
        <v>2562.5</v>
      </c>
      <c r="J35" s="149">
        <f t="shared" si="41"/>
        <v>2187.5</v>
      </c>
      <c r="K35" s="149">
        <f>J38</f>
        <v>1812.5</v>
      </c>
      <c r="P35" s="169"/>
    </row>
    <row r="36" spans="1:16" ht="12.75" hidden="1" outlineLevel="1">
      <c r="A36" s="80" t="s">
        <v>77</v>
      </c>
      <c r="B36" s="171"/>
      <c r="C36" s="149">
        <f>Инв!C34</f>
        <v>4500</v>
      </c>
      <c r="D36" s="149"/>
      <c r="E36" s="149"/>
      <c r="F36" s="149"/>
      <c r="G36" s="149"/>
      <c r="H36" s="149"/>
      <c r="I36" s="149"/>
      <c r="J36" s="149"/>
      <c r="K36" s="149"/>
      <c r="P36" s="169"/>
    </row>
    <row r="37" spans="1:16" ht="12.75" hidden="1" outlineLevel="1">
      <c r="A37" s="151" t="s">
        <v>78</v>
      </c>
      <c r="B37" s="151"/>
      <c r="C37" s="150">
        <f>$C36*$B34/12*2</f>
        <v>62.5</v>
      </c>
      <c r="D37" s="150">
        <f>$C36*$B34</f>
        <v>375</v>
      </c>
      <c r="E37" s="150">
        <f>$C36*$B34</f>
        <v>375</v>
      </c>
      <c r="F37" s="150">
        <f aca="true" t="shared" si="42" ref="F37:K37">$C36*$B34</f>
        <v>375</v>
      </c>
      <c r="G37" s="150">
        <f t="shared" si="42"/>
        <v>375</v>
      </c>
      <c r="H37" s="150">
        <f t="shared" si="42"/>
        <v>375</v>
      </c>
      <c r="I37" s="150">
        <f t="shared" si="42"/>
        <v>375</v>
      </c>
      <c r="J37" s="150">
        <f t="shared" si="42"/>
        <v>375</v>
      </c>
      <c r="K37" s="150">
        <f t="shared" si="42"/>
        <v>375</v>
      </c>
      <c r="P37" s="169"/>
    </row>
    <row r="38" spans="1:16" ht="12.75" hidden="1" outlineLevel="1">
      <c r="A38" s="80" t="s">
        <v>79</v>
      </c>
      <c r="B38" s="171"/>
      <c r="C38" s="149">
        <f aca="true" t="shared" si="43" ref="C38:I38">C35+C36-C37</f>
        <v>4437.5</v>
      </c>
      <c r="D38" s="149">
        <f t="shared" si="43"/>
        <v>4062.5</v>
      </c>
      <c r="E38" s="149">
        <f t="shared" si="43"/>
        <v>3687.5</v>
      </c>
      <c r="F38" s="149">
        <f t="shared" si="43"/>
        <v>3312.5</v>
      </c>
      <c r="G38" s="149">
        <f t="shared" si="43"/>
        <v>2937.5</v>
      </c>
      <c r="H38" s="149">
        <f t="shared" si="43"/>
        <v>2562.5</v>
      </c>
      <c r="I38" s="149">
        <f t="shared" si="43"/>
        <v>2187.5</v>
      </c>
      <c r="J38" s="149">
        <f>J35+J36-J37</f>
        <v>1812.5</v>
      </c>
      <c r="K38" s="149">
        <f>K35+K36-K37</f>
        <v>1437.5</v>
      </c>
      <c r="P38" s="169"/>
    </row>
    <row r="39" spans="1:16" ht="12.75" hidden="1" outlineLevel="1">
      <c r="A39" s="78" t="s">
        <v>97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P39" s="169"/>
    </row>
    <row r="40" spans="1:16" ht="12.75" hidden="1" outlineLevel="1">
      <c r="A40" s="80" t="s">
        <v>75</v>
      </c>
      <c r="B40" s="165">
        <f>100%/8</f>
        <v>0.125</v>
      </c>
      <c r="C40" s="80"/>
      <c r="D40" s="80"/>
      <c r="E40" s="80"/>
      <c r="F40" s="80"/>
      <c r="G40" s="80"/>
      <c r="H40" s="80"/>
      <c r="I40" s="80"/>
      <c r="J40" s="80"/>
      <c r="K40" s="80"/>
      <c r="P40" s="169"/>
    </row>
    <row r="41" spans="1:16" ht="12.75" hidden="1" outlineLevel="1">
      <c r="A41" s="80" t="s">
        <v>76</v>
      </c>
      <c r="B41" s="171"/>
      <c r="C41" s="149"/>
      <c r="D41" s="149">
        <f aca="true" t="shared" si="44" ref="D41:J41">C44</f>
        <v>3737.4791666666665</v>
      </c>
      <c r="E41" s="149">
        <f t="shared" si="44"/>
        <v>3260.3541666666665</v>
      </c>
      <c r="F41" s="149">
        <f t="shared" si="44"/>
        <v>2783.2291666666665</v>
      </c>
      <c r="G41" s="149">
        <f t="shared" si="44"/>
        <v>2306.1041666666665</v>
      </c>
      <c r="H41" s="149">
        <f t="shared" si="44"/>
        <v>1828.9791666666665</v>
      </c>
      <c r="I41" s="149">
        <f t="shared" si="44"/>
        <v>1351.8541666666665</v>
      </c>
      <c r="J41" s="149">
        <f t="shared" si="44"/>
        <v>874.7291666666665</v>
      </c>
      <c r="K41" s="149">
        <f>J44</f>
        <v>397.6041666666665</v>
      </c>
      <c r="P41" s="169"/>
    </row>
    <row r="42" spans="1:16" ht="12.75" hidden="1" outlineLevel="1">
      <c r="A42" s="80" t="s">
        <v>77</v>
      </c>
      <c r="B42" s="171"/>
      <c r="C42" s="149">
        <f>Инв!C35</f>
        <v>3817</v>
      </c>
      <c r="D42" s="149"/>
      <c r="E42" s="149"/>
      <c r="F42" s="149"/>
      <c r="G42" s="149"/>
      <c r="H42" s="149"/>
      <c r="I42" s="149"/>
      <c r="J42" s="149"/>
      <c r="K42" s="149"/>
      <c r="P42" s="169"/>
    </row>
    <row r="43" spans="1:16" ht="12.75" hidden="1" outlineLevel="1">
      <c r="A43" s="151" t="s">
        <v>78</v>
      </c>
      <c r="B43" s="151"/>
      <c r="C43" s="150">
        <f>$C42*$B40/12*2</f>
        <v>79.52083333333333</v>
      </c>
      <c r="D43" s="150">
        <f>$C42*$B40</f>
        <v>477.125</v>
      </c>
      <c r="E43" s="150">
        <f>$C42*$B40</f>
        <v>477.125</v>
      </c>
      <c r="F43" s="150">
        <f aca="true" t="shared" si="45" ref="F43:K43">$C42*$B40</f>
        <v>477.125</v>
      </c>
      <c r="G43" s="150">
        <f t="shared" si="45"/>
        <v>477.125</v>
      </c>
      <c r="H43" s="150">
        <f t="shared" si="45"/>
        <v>477.125</v>
      </c>
      <c r="I43" s="150">
        <f t="shared" si="45"/>
        <v>477.125</v>
      </c>
      <c r="J43" s="150">
        <f t="shared" si="45"/>
        <v>477.125</v>
      </c>
      <c r="K43" s="150">
        <f t="shared" si="45"/>
        <v>477.125</v>
      </c>
      <c r="P43" s="169"/>
    </row>
    <row r="44" spans="1:16" ht="12.75" hidden="1" outlineLevel="1">
      <c r="A44" s="80" t="s">
        <v>79</v>
      </c>
      <c r="B44" s="171"/>
      <c r="C44" s="149">
        <f aca="true" t="shared" si="46" ref="C44:I44">C41+C42-C43</f>
        <v>3737.4791666666665</v>
      </c>
      <c r="D44" s="149">
        <f t="shared" si="46"/>
        <v>3260.3541666666665</v>
      </c>
      <c r="E44" s="149">
        <f t="shared" si="46"/>
        <v>2783.2291666666665</v>
      </c>
      <c r="F44" s="149">
        <f t="shared" si="46"/>
        <v>2306.1041666666665</v>
      </c>
      <c r="G44" s="149">
        <f t="shared" si="46"/>
        <v>1828.9791666666665</v>
      </c>
      <c r="H44" s="149">
        <f t="shared" si="46"/>
        <v>1351.8541666666665</v>
      </c>
      <c r="I44" s="149">
        <f t="shared" si="46"/>
        <v>874.7291666666665</v>
      </c>
      <c r="J44" s="149">
        <f>J41+J42-J43</f>
        <v>397.6041666666665</v>
      </c>
      <c r="K44" s="149">
        <f>K41+K42-K43</f>
        <v>-79.52083333333348</v>
      </c>
      <c r="P44" s="169"/>
    </row>
    <row r="45" spans="1:16" ht="12.75" hidden="1" outlineLevel="1">
      <c r="A45" s="78" t="s">
        <v>192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P45" s="169"/>
    </row>
    <row r="46" spans="1:16" ht="12.75" hidden="1" outlineLevel="1">
      <c r="A46" s="80" t="s">
        <v>75</v>
      </c>
      <c r="B46" s="172">
        <f>100%/8</f>
        <v>0.125</v>
      </c>
      <c r="C46" s="80"/>
      <c r="D46" s="80"/>
      <c r="E46" s="80"/>
      <c r="F46" s="80"/>
      <c r="G46" s="80"/>
      <c r="H46" s="80"/>
      <c r="I46" s="80"/>
      <c r="J46" s="80"/>
      <c r="K46" s="80"/>
      <c r="P46" s="169"/>
    </row>
    <row r="47" spans="1:16" ht="12.75" hidden="1" outlineLevel="1">
      <c r="A47" s="80" t="s">
        <v>76</v>
      </c>
      <c r="B47" s="171"/>
      <c r="C47" s="149"/>
      <c r="D47" s="149">
        <f aca="true" t="shared" si="47" ref="D47:J47">C50</f>
        <v>317.25</v>
      </c>
      <c r="E47" s="149">
        <f t="shared" si="47"/>
        <v>276.75</v>
      </c>
      <c r="F47" s="149">
        <f t="shared" si="47"/>
        <v>236.25</v>
      </c>
      <c r="G47" s="149">
        <f t="shared" si="47"/>
        <v>195.75</v>
      </c>
      <c r="H47" s="149">
        <f t="shared" si="47"/>
        <v>155.25</v>
      </c>
      <c r="I47" s="149">
        <f t="shared" si="47"/>
        <v>114.75</v>
      </c>
      <c r="J47" s="149">
        <f t="shared" si="47"/>
        <v>74.25</v>
      </c>
      <c r="K47" s="149">
        <f>J50</f>
        <v>33.75</v>
      </c>
      <c r="P47" s="169"/>
    </row>
    <row r="48" spans="1:16" ht="12.75" hidden="1" outlineLevel="1">
      <c r="A48" s="80" t="s">
        <v>77</v>
      </c>
      <c r="B48" s="171"/>
      <c r="C48" s="149">
        <f>Инв!C36</f>
        <v>324</v>
      </c>
      <c r="D48" s="149"/>
      <c r="E48" s="149"/>
      <c r="F48" s="149"/>
      <c r="G48" s="149"/>
      <c r="H48" s="149"/>
      <c r="I48" s="149"/>
      <c r="J48" s="149"/>
      <c r="K48" s="149"/>
      <c r="P48" s="169"/>
    </row>
    <row r="49" spans="1:16" ht="12.75" hidden="1" outlineLevel="1">
      <c r="A49" s="151" t="s">
        <v>78</v>
      </c>
      <c r="B49" s="151"/>
      <c r="C49" s="150">
        <f>$C48*$B46/12*2</f>
        <v>6.75</v>
      </c>
      <c r="D49" s="150">
        <f>$C48*$B46</f>
        <v>40.5</v>
      </c>
      <c r="E49" s="150">
        <f aca="true" t="shared" si="48" ref="E49:K49">$C48*$B46</f>
        <v>40.5</v>
      </c>
      <c r="F49" s="150">
        <f t="shared" si="48"/>
        <v>40.5</v>
      </c>
      <c r="G49" s="150">
        <f t="shared" si="48"/>
        <v>40.5</v>
      </c>
      <c r="H49" s="150">
        <f t="shared" si="48"/>
        <v>40.5</v>
      </c>
      <c r="I49" s="150">
        <f t="shared" si="48"/>
        <v>40.5</v>
      </c>
      <c r="J49" s="150">
        <f t="shared" si="48"/>
        <v>40.5</v>
      </c>
      <c r="K49" s="150">
        <f t="shared" si="48"/>
        <v>40.5</v>
      </c>
      <c r="P49" s="169"/>
    </row>
    <row r="50" spans="1:16" ht="12.75" hidden="1" outlineLevel="1">
      <c r="A50" s="80" t="s">
        <v>79</v>
      </c>
      <c r="B50" s="171"/>
      <c r="C50" s="149">
        <f aca="true" t="shared" si="49" ref="C50:I50">C47+C48-C49</f>
        <v>317.25</v>
      </c>
      <c r="D50" s="149">
        <f t="shared" si="49"/>
        <v>276.75</v>
      </c>
      <c r="E50" s="149">
        <f t="shared" si="49"/>
        <v>236.25</v>
      </c>
      <c r="F50" s="149">
        <f t="shared" si="49"/>
        <v>195.75</v>
      </c>
      <c r="G50" s="149">
        <f t="shared" si="49"/>
        <v>155.25</v>
      </c>
      <c r="H50" s="149">
        <f t="shared" si="49"/>
        <v>114.75</v>
      </c>
      <c r="I50" s="149">
        <f t="shared" si="49"/>
        <v>74.25</v>
      </c>
      <c r="J50" s="149">
        <f>J47+J48-J49</f>
        <v>33.75</v>
      </c>
      <c r="K50" s="149">
        <f>K47+K48-K49</f>
        <v>-6.75</v>
      </c>
      <c r="P50" s="169"/>
    </row>
    <row r="51" ht="12.75" collapsed="1">
      <c r="P51" s="169"/>
    </row>
  </sheetData>
  <sheetProtection/>
  <printOptions/>
  <pageMargins left="0.26" right="0.2" top="0.49" bottom="0.82" header="0.2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N30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12" sqref="D12"/>
    </sheetView>
  </sheetViews>
  <sheetFormatPr defaultColWidth="9.00390625" defaultRowHeight="12.75"/>
  <cols>
    <col min="1" max="1" width="5.625" style="77" customWidth="1"/>
    <col min="2" max="2" width="26.125" style="77" customWidth="1"/>
    <col min="3" max="3" width="10.00390625" style="77" customWidth="1"/>
    <col min="4" max="4" width="8.625" style="77" customWidth="1"/>
    <col min="5" max="5" width="12.75390625" style="77" customWidth="1"/>
    <col min="6" max="6" width="11.625" style="77" bestFit="1" customWidth="1"/>
    <col min="7" max="7" width="11.75390625" style="77" customWidth="1"/>
    <col min="8" max="9" width="11.625" style="77" bestFit="1" customWidth="1"/>
    <col min="10" max="10" width="9.25390625" style="77" customWidth="1"/>
    <col min="11" max="11" width="10.75390625" style="77" customWidth="1"/>
    <col min="12" max="12" width="6.25390625" style="77" bestFit="1" customWidth="1"/>
    <col min="13" max="13" width="13.375" style="77" customWidth="1"/>
    <col min="14" max="16384" width="9.125" style="77" customWidth="1"/>
  </cols>
  <sheetData>
    <row r="1" ht="5.25" customHeight="1"/>
    <row r="2" spans="1:14" ht="16.5" customHeight="1">
      <c r="A2" s="61" t="s">
        <v>132</v>
      </c>
      <c r="D2" s="161"/>
      <c r="E2" s="161"/>
      <c r="F2" s="161"/>
      <c r="G2" s="161"/>
      <c r="H2" s="161"/>
      <c r="I2" s="161"/>
      <c r="J2" s="161"/>
      <c r="K2" s="145" t="str">
        <f>Исх!C11</f>
        <v>тыс.тг.</v>
      </c>
      <c r="N2" s="255"/>
    </row>
    <row r="3" spans="1:11" ht="8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42" customHeight="1">
      <c r="A4" s="256" t="s">
        <v>31</v>
      </c>
      <c r="B4" s="214" t="s">
        <v>32</v>
      </c>
      <c r="C4" s="214" t="s">
        <v>33</v>
      </c>
      <c r="D4" s="147" t="s">
        <v>87</v>
      </c>
      <c r="E4" s="147" t="s">
        <v>88</v>
      </c>
      <c r="F4" s="147" t="s">
        <v>41</v>
      </c>
      <c r="G4" s="147" t="s">
        <v>42</v>
      </c>
      <c r="H4" s="147" t="s">
        <v>43</v>
      </c>
      <c r="I4" s="147" t="s">
        <v>44</v>
      </c>
      <c r="J4" s="147" t="s">
        <v>45</v>
      </c>
      <c r="K4" s="147" t="s">
        <v>40</v>
      </c>
    </row>
    <row r="5" spans="1:11" s="61" customFormat="1" ht="25.5">
      <c r="A5" s="141"/>
      <c r="B5" s="148" t="s">
        <v>86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80">
        <v>1</v>
      </c>
      <c r="B6" s="80" t="s">
        <v>178</v>
      </c>
      <c r="C6" s="80">
        <v>1</v>
      </c>
      <c r="D6" s="143">
        <v>120</v>
      </c>
      <c r="E6" s="149">
        <f>C6*D6</f>
        <v>120</v>
      </c>
      <c r="F6" s="149">
        <f>E6*$C$25</f>
        <v>12</v>
      </c>
      <c r="G6" s="149">
        <f>(E6-$C$29*C6-F6)*$C$27</f>
        <v>8.934000000000001</v>
      </c>
      <c r="H6" s="149">
        <f>(E6-F6)*$C$26</f>
        <v>5.4</v>
      </c>
      <c r="I6" s="149">
        <f>(E6-F6)*$C$28-H6</f>
        <v>1.0799999999999992</v>
      </c>
      <c r="J6" s="149">
        <f>E6-F6-G6</f>
        <v>99.066</v>
      </c>
      <c r="K6" s="150">
        <f>SUM(F6:J6)</f>
        <v>126.48</v>
      </c>
    </row>
    <row r="7" spans="1:11" ht="12.75" hidden="1">
      <c r="A7" s="80"/>
      <c r="B7" s="80"/>
      <c r="C7" s="80"/>
      <c r="D7" s="143"/>
      <c r="E7" s="149">
        <f>C7*D7</f>
        <v>0</v>
      </c>
      <c r="F7" s="149">
        <f>E7*$C$25</f>
        <v>0</v>
      </c>
      <c r="G7" s="149">
        <f>(E7-$C$29*C7-F7)*$C$27</f>
        <v>0</v>
      </c>
      <c r="H7" s="149">
        <f>(E7-F7)*$C$26</f>
        <v>0</v>
      </c>
      <c r="I7" s="149">
        <f>(E7-F7)*$C$28-H7</f>
        <v>0</v>
      </c>
      <c r="J7" s="149">
        <f>E7-F7-G7</f>
        <v>0</v>
      </c>
      <c r="K7" s="150">
        <f>SUM(F7:J7)</f>
        <v>0</v>
      </c>
    </row>
    <row r="8" spans="1:11" s="61" customFormat="1" ht="12.75">
      <c r="A8" s="151"/>
      <c r="B8" s="151" t="s">
        <v>0</v>
      </c>
      <c r="C8" s="31">
        <f aca="true" t="shared" si="0" ref="C8:K8">SUM(C6:C7)</f>
        <v>1</v>
      </c>
      <c r="D8" s="31">
        <f t="shared" si="0"/>
        <v>120</v>
      </c>
      <c r="E8" s="31">
        <f t="shared" si="0"/>
        <v>120</v>
      </c>
      <c r="F8" s="31">
        <f t="shared" si="0"/>
        <v>12</v>
      </c>
      <c r="G8" s="31">
        <f t="shared" si="0"/>
        <v>8.934000000000001</v>
      </c>
      <c r="H8" s="31">
        <f t="shared" si="0"/>
        <v>5.4</v>
      </c>
      <c r="I8" s="31">
        <f t="shared" si="0"/>
        <v>1.0799999999999992</v>
      </c>
      <c r="J8" s="31">
        <f t="shared" si="0"/>
        <v>99.066</v>
      </c>
      <c r="K8" s="31">
        <f t="shared" si="0"/>
        <v>126.48</v>
      </c>
    </row>
    <row r="9" spans="1:12" s="61" customFormat="1" ht="12.75">
      <c r="A9" s="141"/>
      <c r="B9" s="141" t="s">
        <v>91</v>
      </c>
      <c r="C9" s="141"/>
      <c r="D9" s="142"/>
      <c r="E9" s="142"/>
      <c r="F9" s="142"/>
      <c r="G9" s="142"/>
      <c r="H9" s="142"/>
      <c r="I9" s="142"/>
      <c r="J9" s="142"/>
      <c r="K9" s="142"/>
      <c r="L9" s="77"/>
    </row>
    <row r="10" spans="1:11" ht="12.75">
      <c r="A10" s="80">
        <v>1</v>
      </c>
      <c r="B10" s="80" t="s">
        <v>227</v>
      </c>
      <c r="C10" s="149">
        <v>2</v>
      </c>
      <c r="D10" s="143">
        <v>100</v>
      </c>
      <c r="E10" s="149">
        <f>C10*D10</f>
        <v>200</v>
      </c>
      <c r="F10" s="149">
        <f>E10*$C$25</f>
        <v>20</v>
      </c>
      <c r="G10" s="149">
        <f>(E10-$C$29*C10-F10)*$C$27</f>
        <v>14.268</v>
      </c>
      <c r="H10" s="149">
        <f>(E10-F10)*$C$26</f>
        <v>9</v>
      </c>
      <c r="I10" s="149">
        <f>(E10-F10)*$C$28-H10</f>
        <v>1.799999999999999</v>
      </c>
      <c r="J10" s="149">
        <f>E10-F10-G10</f>
        <v>165.732</v>
      </c>
      <c r="K10" s="150">
        <f>SUM(F10:J10)</f>
        <v>210.8</v>
      </c>
    </row>
    <row r="11" spans="1:11" ht="12.75" hidden="1">
      <c r="A11" s="80"/>
      <c r="B11" s="80"/>
      <c r="C11" s="149"/>
      <c r="D11" s="143"/>
      <c r="E11" s="149">
        <f>C11*D11</f>
        <v>0</v>
      </c>
      <c r="F11" s="149">
        <f>E11*$C$25</f>
        <v>0</v>
      </c>
      <c r="G11" s="149">
        <f>(E11-$C$29*C11-F11)*$C$27</f>
        <v>0</v>
      </c>
      <c r="H11" s="149">
        <f>(E11-F11)*$C$26</f>
        <v>0</v>
      </c>
      <c r="I11" s="149">
        <f>(E11-F11)*$C$28-H11</f>
        <v>0</v>
      </c>
      <c r="J11" s="149">
        <f>E11-F11-G11</f>
        <v>0</v>
      </c>
      <c r="K11" s="150">
        <f>SUM(F11:J11)</f>
        <v>0</v>
      </c>
    </row>
    <row r="12" spans="1:11" s="61" customFormat="1" ht="12.75">
      <c r="A12" s="151"/>
      <c r="B12" s="152" t="s">
        <v>0</v>
      </c>
      <c r="C12" s="151">
        <f aca="true" t="shared" si="1" ref="C12:K12">SUM(C9:C11)</f>
        <v>2</v>
      </c>
      <c r="D12" s="150">
        <f t="shared" si="1"/>
        <v>100</v>
      </c>
      <c r="E12" s="150">
        <f t="shared" si="1"/>
        <v>200</v>
      </c>
      <c r="F12" s="150">
        <f t="shared" si="1"/>
        <v>20</v>
      </c>
      <c r="G12" s="150">
        <f t="shared" si="1"/>
        <v>14.268</v>
      </c>
      <c r="H12" s="150">
        <f t="shared" si="1"/>
        <v>9</v>
      </c>
      <c r="I12" s="150">
        <f t="shared" si="1"/>
        <v>1.799999999999999</v>
      </c>
      <c r="J12" s="150">
        <f t="shared" si="1"/>
        <v>165.732</v>
      </c>
      <c r="K12" s="150">
        <f t="shared" si="1"/>
        <v>210.8</v>
      </c>
    </row>
    <row r="13" spans="1:11" s="61" customFormat="1" ht="12.75">
      <c r="A13" s="141"/>
      <c r="B13" s="141" t="s">
        <v>92</v>
      </c>
      <c r="C13" s="141"/>
      <c r="D13" s="142"/>
      <c r="E13" s="142"/>
      <c r="F13" s="142"/>
      <c r="G13" s="142"/>
      <c r="H13" s="142"/>
      <c r="I13" s="142"/>
      <c r="J13" s="142"/>
      <c r="K13" s="142"/>
    </row>
    <row r="14" spans="1:14" ht="12.75">
      <c r="A14" s="80">
        <v>1</v>
      </c>
      <c r="B14" s="80" t="s">
        <v>228</v>
      </c>
      <c r="C14" s="80">
        <v>2</v>
      </c>
      <c r="D14" s="143">
        <v>30</v>
      </c>
      <c r="E14" s="149">
        <f>C14*D14</f>
        <v>60</v>
      </c>
      <c r="F14" s="149">
        <f>E14*$C$25</f>
        <v>6</v>
      </c>
      <c r="G14" s="149">
        <f>(E14-$C$29*C14-F14)*$C$27</f>
        <v>1.6680000000000001</v>
      </c>
      <c r="H14" s="149">
        <f>(E14-F14)*$C$26</f>
        <v>2.7</v>
      </c>
      <c r="I14" s="149">
        <f>(E14-F14)*$C$28-H14</f>
        <v>0.5399999999999996</v>
      </c>
      <c r="J14" s="149">
        <f>E14-F14-G14</f>
        <v>52.332</v>
      </c>
      <c r="K14" s="150">
        <f>SUM(F14:J14)</f>
        <v>63.24</v>
      </c>
      <c r="L14" s="268"/>
      <c r="N14" s="272"/>
    </row>
    <row r="15" spans="1:12" ht="12.75" hidden="1">
      <c r="A15" s="80"/>
      <c r="B15" s="80"/>
      <c r="C15" s="80"/>
      <c r="D15" s="143"/>
      <c r="E15" s="149">
        <f>C15*D15</f>
        <v>0</v>
      </c>
      <c r="F15" s="149">
        <f>E15*$C$25</f>
        <v>0</v>
      </c>
      <c r="G15" s="149">
        <f>(E15-$C$29*C15-F15)*$C$27</f>
        <v>0</v>
      </c>
      <c r="H15" s="149">
        <f>(E15-F15)*$C$26</f>
        <v>0</v>
      </c>
      <c r="I15" s="149">
        <f>(E15-F15)*$C$28-H15</f>
        <v>0</v>
      </c>
      <c r="J15" s="149">
        <f>E15-F15-G15</f>
        <v>0</v>
      </c>
      <c r="K15" s="150">
        <f>SUM(F15:J15)</f>
        <v>0</v>
      </c>
      <c r="L15" s="268"/>
    </row>
    <row r="16" spans="1:11" s="61" customFormat="1" ht="12.75">
      <c r="A16" s="151"/>
      <c r="B16" s="152" t="s">
        <v>0</v>
      </c>
      <c r="C16" s="151">
        <f aca="true" t="shared" si="2" ref="C16:K16">SUM(C14:C15)</f>
        <v>2</v>
      </c>
      <c r="D16" s="150">
        <f t="shared" si="2"/>
        <v>30</v>
      </c>
      <c r="E16" s="150">
        <f t="shared" si="2"/>
        <v>60</v>
      </c>
      <c r="F16" s="150">
        <f t="shared" si="2"/>
        <v>6</v>
      </c>
      <c r="G16" s="150">
        <f t="shared" si="2"/>
        <v>1.6680000000000001</v>
      </c>
      <c r="H16" s="150">
        <f t="shared" si="2"/>
        <v>2.7</v>
      </c>
      <c r="I16" s="150">
        <f t="shared" si="2"/>
        <v>0.5399999999999996</v>
      </c>
      <c r="J16" s="150">
        <f t="shared" si="2"/>
        <v>52.332</v>
      </c>
      <c r="K16" s="150">
        <f t="shared" si="2"/>
        <v>63.24</v>
      </c>
    </row>
    <row r="17" spans="1:11" s="61" customFormat="1" ht="12.75" hidden="1">
      <c r="A17" s="141"/>
      <c r="B17" s="141" t="s">
        <v>99</v>
      </c>
      <c r="C17" s="141"/>
      <c r="D17" s="142"/>
      <c r="E17" s="142"/>
      <c r="F17" s="142"/>
      <c r="G17" s="142"/>
      <c r="H17" s="142"/>
      <c r="I17" s="142"/>
      <c r="J17" s="142"/>
      <c r="K17" s="142"/>
    </row>
    <row r="18" spans="1:13" ht="12.75" hidden="1">
      <c r="A18" s="80"/>
      <c r="B18" s="80"/>
      <c r="C18" s="80"/>
      <c r="D18" s="143"/>
      <c r="E18" s="149">
        <f>C18*D18</f>
        <v>0</v>
      </c>
      <c r="F18" s="149">
        <f>E18*$C$25</f>
        <v>0</v>
      </c>
      <c r="G18" s="149">
        <f>(E18-$C$29*C18-F18)*$C$27</f>
        <v>0</v>
      </c>
      <c r="H18" s="149">
        <f>(E18-F18)*$C$26</f>
        <v>0</v>
      </c>
      <c r="I18" s="149">
        <f>(E18-F18)*$C$28-H18</f>
        <v>0</v>
      </c>
      <c r="J18" s="149">
        <f>E18-F18-G18</f>
        <v>0</v>
      </c>
      <c r="K18" s="150">
        <f>SUM(F18:J18)</f>
        <v>0</v>
      </c>
      <c r="M18" s="153"/>
    </row>
    <row r="19" spans="1:11" ht="12.75" hidden="1">
      <c r="A19" s="80"/>
      <c r="B19" s="80"/>
      <c r="C19" s="80"/>
      <c r="D19" s="143"/>
      <c r="E19" s="149">
        <f>C19*D19</f>
        <v>0</v>
      </c>
      <c r="F19" s="149">
        <f>E19*$C$25</f>
        <v>0</v>
      </c>
      <c r="G19" s="149">
        <f>(E19-$C$29*C19-F19)*$C$27</f>
        <v>0</v>
      </c>
      <c r="H19" s="149">
        <f>(E19-F19)*$C$26</f>
        <v>0</v>
      </c>
      <c r="I19" s="149">
        <f>(E19-F19)*$C$28-H19</f>
        <v>0</v>
      </c>
      <c r="J19" s="149">
        <f>E19-F19-G19</f>
        <v>0</v>
      </c>
      <c r="K19" s="150">
        <f>SUM(F19:J19)</f>
        <v>0</v>
      </c>
    </row>
    <row r="20" spans="1:11" ht="12.75" hidden="1">
      <c r="A20" s="80"/>
      <c r="B20" s="80"/>
      <c r="C20" s="80"/>
      <c r="D20" s="143"/>
      <c r="E20" s="149">
        <f>C20*D20</f>
        <v>0</v>
      </c>
      <c r="F20" s="149">
        <f>E20*$C$25</f>
        <v>0</v>
      </c>
      <c r="G20" s="149">
        <f>(E20-$C$29*C20-F20)*$C$27</f>
        <v>0</v>
      </c>
      <c r="H20" s="149">
        <f>(E20-F20)*$C$26</f>
        <v>0</v>
      </c>
      <c r="I20" s="149">
        <f>(E20-F20)*$C$28-H20</f>
        <v>0</v>
      </c>
      <c r="J20" s="149">
        <f>E20-F20-G20</f>
        <v>0</v>
      </c>
      <c r="K20" s="150">
        <f>SUM(F20:J20)</f>
        <v>0</v>
      </c>
    </row>
    <row r="21" spans="1:11" s="61" customFormat="1" ht="12.75" hidden="1">
      <c r="A21" s="151"/>
      <c r="B21" s="152" t="s">
        <v>0</v>
      </c>
      <c r="C21" s="151">
        <f aca="true" t="shared" si="3" ref="C21:K21">SUM(C18:C20)</f>
        <v>0</v>
      </c>
      <c r="D21" s="151">
        <f t="shared" si="3"/>
        <v>0</v>
      </c>
      <c r="E21" s="151">
        <f t="shared" si="3"/>
        <v>0</v>
      </c>
      <c r="F21" s="151">
        <f t="shared" si="3"/>
        <v>0</v>
      </c>
      <c r="G21" s="150">
        <f t="shared" si="3"/>
        <v>0</v>
      </c>
      <c r="H21" s="150">
        <f t="shared" si="3"/>
        <v>0</v>
      </c>
      <c r="I21" s="150">
        <f t="shared" si="3"/>
        <v>0</v>
      </c>
      <c r="J21" s="150">
        <f t="shared" si="3"/>
        <v>0</v>
      </c>
      <c r="K21" s="150">
        <f t="shared" si="3"/>
        <v>0</v>
      </c>
    </row>
    <row r="22" spans="1:11" ht="12.75">
      <c r="A22" s="80"/>
      <c r="B22" s="80"/>
      <c r="C22" s="80"/>
      <c r="D22" s="149"/>
      <c r="E22" s="149"/>
      <c r="F22" s="149"/>
      <c r="G22" s="149"/>
      <c r="H22" s="149"/>
      <c r="I22" s="149"/>
      <c r="J22" s="149"/>
      <c r="K22" s="149"/>
    </row>
    <row r="23" spans="1:14" s="61" customFormat="1" ht="12.75">
      <c r="A23" s="151"/>
      <c r="B23" s="151" t="s">
        <v>100</v>
      </c>
      <c r="C23" s="150">
        <f aca="true" t="shared" si="4" ref="C23:K23">C8+C12+C16+C21</f>
        <v>5</v>
      </c>
      <c r="D23" s="150">
        <f t="shared" si="4"/>
        <v>250</v>
      </c>
      <c r="E23" s="150">
        <f t="shared" si="4"/>
        <v>380</v>
      </c>
      <c r="F23" s="150">
        <f t="shared" si="4"/>
        <v>38</v>
      </c>
      <c r="G23" s="150">
        <f t="shared" si="4"/>
        <v>24.87</v>
      </c>
      <c r="H23" s="150">
        <f t="shared" si="4"/>
        <v>17.1</v>
      </c>
      <c r="I23" s="150">
        <f t="shared" si="4"/>
        <v>3.4199999999999977</v>
      </c>
      <c r="J23" s="150">
        <f t="shared" si="4"/>
        <v>317.13</v>
      </c>
      <c r="K23" s="154">
        <f t="shared" si="4"/>
        <v>400.52000000000004</v>
      </c>
      <c r="N23" s="195"/>
    </row>
    <row r="25" spans="2:10" ht="12.75">
      <c r="B25" s="80" t="s">
        <v>41</v>
      </c>
      <c r="C25" s="155">
        <f>Исх!C13</f>
        <v>0.1</v>
      </c>
      <c r="D25" s="156"/>
      <c r="E25" s="156"/>
      <c r="F25" s="156"/>
      <c r="G25" s="349"/>
      <c r="H25" s="349"/>
      <c r="I25" s="349"/>
      <c r="J25" s="349"/>
    </row>
    <row r="26" spans="2:10" ht="12.75">
      <c r="B26" s="80" t="s">
        <v>46</v>
      </c>
      <c r="C26" s="155">
        <f>Исх!C14</f>
        <v>0.05</v>
      </c>
      <c r="D26" s="156"/>
      <c r="E26" s="156"/>
      <c r="F26" s="156"/>
      <c r="G26" s="156"/>
      <c r="H26" s="156"/>
      <c r="I26" s="157"/>
      <c r="J26" s="158"/>
    </row>
    <row r="27" spans="2:10" ht="12.75">
      <c r="B27" s="80" t="s">
        <v>42</v>
      </c>
      <c r="C27" s="155">
        <f>Исх!C15</f>
        <v>0.1</v>
      </c>
      <c r="D27" s="156"/>
      <c r="E27" s="156"/>
      <c r="F27" s="156"/>
      <c r="G27" s="156"/>
      <c r="H27" s="156"/>
      <c r="I27" s="157"/>
      <c r="J27" s="158"/>
    </row>
    <row r="28" spans="2:10" ht="12.75">
      <c r="B28" s="80" t="s">
        <v>44</v>
      </c>
      <c r="C28" s="155">
        <f>Исх!C16</f>
        <v>0.06</v>
      </c>
      <c r="D28" s="159"/>
      <c r="E28" s="159"/>
      <c r="F28" s="156"/>
      <c r="G28" s="156"/>
      <c r="H28" s="156"/>
      <c r="I28" s="157"/>
      <c r="J28" s="158"/>
    </row>
    <row r="29" spans="2:3" ht="12.75">
      <c r="B29" s="80" t="s">
        <v>104</v>
      </c>
      <c r="C29" s="160">
        <f>Исх!C17</f>
        <v>18.66</v>
      </c>
    </row>
    <row r="30" spans="7:10" ht="12.75">
      <c r="G30" s="156"/>
      <c r="H30" s="156"/>
      <c r="I30" s="157"/>
      <c r="J30" s="158"/>
    </row>
  </sheetData>
  <sheetProtection/>
  <mergeCells count="1">
    <mergeCell ref="G25:J25"/>
  </mergeCells>
  <printOptions/>
  <pageMargins left="0.2755905511811024" right="0.2" top="0.77" bottom="0.35433070866141736" header="0.2362204724409449" footer="0.275590551181102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2013-08-09T11:38:28Z</cp:lastPrinted>
  <dcterms:created xsi:type="dcterms:W3CDTF">2006-03-01T15:11:19Z</dcterms:created>
  <dcterms:modified xsi:type="dcterms:W3CDTF">2013-11-30T14:26:08Z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